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omments4.xml" ContentType="application/vnd.openxmlformats-officedocument.spreadsheetml.comments+xml"/>
  <Override PartName="/xl/drawings/drawing2.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bookViews>
    <workbookView xWindow="-15" yWindow="5265" windowWidth="15480" windowHeight="4965" tabRatio="731"/>
  </bookViews>
  <sheets>
    <sheet name="JI_Projects" sheetId="27" r:id="rId1"/>
    <sheet name="PoAs" sheetId="29" r:id="rId2"/>
    <sheet name="AAU" sheetId="31" r:id="rId3"/>
    <sheet name="Analysis" sheetId="5" r:id="rId4"/>
    <sheet name="Exch" sheetId="33" r:id="rId5"/>
    <sheet name="Analysis2" sheetId="25" r:id="rId6"/>
    <sheet name="DOEs_AIEs" sheetId="40" r:id="rId7"/>
    <sheet name="Time" sheetId="14" r:id="rId8"/>
    <sheet name="Timelagcharts" sheetId="22" r:id="rId9"/>
  </sheets>
  <definedNames>
    <definedName name="_xlnm._FilterDatabase" localSheetId="0" hidden="1">JI_Projects!$A$4:$AV$363</definedName>
    <definedName name="AboveBuyer">Analysis!$A$156</definedName>
    <definedName name="AboveDOE">Analysis!$B$125</definedName>
    <definedName name="AboveHost">Analysis!$A$95</definedName>
    <definedName name="AboveJIHost">Analysis!$A$194</definedName>
    <definedName name="AboveRes">Analysis2!$AY$18</definedName>
    <definedName name="AboveType">Analysis!$A$26</definedName>
    <definedName name="AboveType2">Analysis!$A$60</definedName>
    <definedName name="BelowBuyer">Analysis!$A$188</definedName>
    <definedName name="BelowDOE">Analysis!$B$152</definedName>
    <definedName name="BelowHost">Analysis!$A$118</definedName>
    <definedName name="BelowJIHost">Analysis!$A$217</definedName>
    <definedName name="BelowRes">Analysis2!$AY$71</definedName>
    <definedName name="BelowType">Analysis!$A$55</definedName>
    <definedName name="ERUsExpected">JI_Projects!$V$4</definedName>
    <definedName name="ERUsIssued">JI_Projects!$Q$4</definedName>
    <definedName name="JIBuyer">JI_Projects!$Y$4</definedName>
    <definedName name="JICreditstart">JI_Projects!$N$4</definedName>
    <definedName name="JIDOE">JI_Projects!$P$4</definedName>
    <definedName name="JIDOE2">JI_Projects!$X$4</definedName>
    <definedName name="JIHost">JI_Projects!$D$4</definedName>
    <definedName name="JIktCO22012">JI_Projects!$O$4</definedName>
    <definedName name="JIktCO2peryr">JI_Projects!$L$4</definedName>
    <definedName name="JILoA">JI_Projects!$AC$4</definedName>
    <definedName name="JIMethod">JI_Projects!$K$4</definedName>
    <definedName name="JIMW">JI_Projects!$AH$4</definedName>
    <definedName name="JIRegRequest">JI_Projects!$AD$4</definedName>
    <definedName name="JIResource">JI_Projects!$J$4</definedName>
    <definedName name="JIStartcomment">JI_Projects!$AA$4</definedName>
    <definedName name="JIStatus">JI_Projects!$H$4</definedName>
    <definedName name="JISuccess">JI_Projects!$W$4</definedName>
    <definedName name="JIType">JI_Projects!$I$4</definedName>
    <definedName name="JIUntil">JI_Projects!$U$4</definedName>
    <definedName name="LastJIline">JI_Projects!$F$792</definedName>
    <definedName name="_xlnm.Print_Area" localSheetId="6">DOEs_AIEs!$B$4:$C$69</definedName>
    <definedName name="Slope">JI_Projects!$M$4</definedName>
    <definedName name="Statusnumber">Analysis!$B$4</definedName>
    <definedName name="TableHostsTime">Time!$A$27</definedName>
    <definedName name="TableHostsTimeERU">Time!$A$58</definedName>
    <definedName name="TableHostsTypes">Analysis2!$A$4</definedName>
    <definedName name="TableHostsTypesERU">Analysis2!$A$31</definedName>
    <definedName name="TableMWHostsTypes">Analysis2!$AF$4</definedName>
    <definedName name="TableTypesTime">Time!$A$89</definedName>
    <definedName name="TableTypesTimeERU">Time!$A$129</definedName>
    <definedName name="Track">JI_Projects!$F$4</definedName>
  </definedNames>
  <calcPr calcId="145621"/>
</workbook>
</file>

<file path=xl/calcChain.xml><?xml version="1.0" encoding="utf-8"?>
<calcChain xmlns="http://schemas.openxmlformats.org/spreadsheetml/2006/main">
  <c r="U109" i="5" l="1"/>
  <c r="U118" i="5" s="1"/>
  <c r="U99" i="5"/>
  <c r="U96" i="5"/>
  <c r="L56" i="5" l="1"/>
  <c r="CJ178" i="14" l="1"/>
  <c r="CI178" i="14"/>
  <c r="CH178" i="14" l="1"/>
  <c r="FP117" i="14" l="1"/>
  <c r="FO117" i="14"/>
  <c r="FN117" i="14"/>
  <c r="FM117" i="14"/>
  <c r="FP116" i="14"/>
  <c r="FO116" i="14"/>
  <c r="FN116" i="14"/>
  <c r="FM116" i="14"/>
  <c r="FP115" i="14"/>
  <c r="FO115" i="14"/>
  <c r="FN115" i="14"/>
  <c r="FM115" i="14"/>
  <c r="FP114" i="14"/>
  <c r="FO114" i="14"/>
  <c r="FN114" i="14"/>
  <c r="FM114" i="14"/>
  <c r="FP113" i="14"/>
  <c r="FO113" i="14"/>
  <c r="FN113" i="14"/>
  <c r="FM113" i="14"/>
  <c r="FP112" i="14"/>
  <c r="FO112" i="14"/>
  <c r="FN112" i="14"/>
  <c r="FM112" i="14"/>
  <c r="FP111" i="14"/>
  <c r="FO111" i="14"/>
  <c r="FN111" i="14"/>
  <c r="FM111" i="14"/>
  <c r="FP110" i="14"/>
  <c r="FO110" i="14"/>
  <c r="FN110" i="14"/>
  <c r="FM110" i="14"/>
  <c r="FP109" i="14"/>
  <c r="FO109" i="14"/>
  <c r="FN109" i="14"/>
  <c r="FM109" i="14"/>
  <c r="FP108" i="14"/>
  <c r="FO108" i="14"/>
  <c r="FN108" i="14"/>
  <c r="FM108" i="14"/>
  <c r="FP107" i="14"/>
  <c r="FO107" i="14"/>
  <c r="FN107" i="14"/>
  <c r="FM107" i="14"/>
  <c r="FP106" i="14"/>
  <c r="FO106" i="14"/>
  <c r="FN106" i="14"/>
  <c r="FM106" i="14"/>
  <c r="FP105" i="14"/>
  <c r="FO105" i="14"/>
  <c r="FN105" i="14"/>
  <c r="FM105" i="14"/>
  <c r="FP104" i="14"/>
  <c r="FO104" i="14"/>
  <c r="FN104" i="14"/>
  <c r="FM104" i="14"/>
  <c r="FP103" i="14"/>
  <c r="FO103" i="14"/>
  <c r="FN103" i="14"/>
  <c r="FM103" i="14"/>
  <c r="FP102" i="14"/>
  <c r="FO102" i="14"/>
  <c r="FN102" i="14"/>
  <c r="FM102" i="14"/>
  <c r="FP101" i="14"/>
  <c r="FO101" i="14"/>
  <c r="FN101" i="14"/>
  <c r="FM101" i="14"/>
  <c r="FP100" i="14"/>
  <c r="FO100" i="14"/>
  <c r="FN100" i="14"/>
  <c r="FM100" i="14"/>
  <c r="FP99" i="14"/>
  <c r="FO99" i="14"/>
  <c r="FN99" i="14"/>
  <c r="FM99" i="14"/>
  <c r="FP98" i="14"/>
  <c r="FO98" i="14"/>
  <c r="FN98" i="14"/>
  <c r="FM98" i="14"/>
  <c r="FP97" i="14"/>
  <c r="FO97" i="14"/>
  <c r="FN97" i="14"/>
  <c r="FM97" i="14"/>
  <c r="FP96" i="14"/>
  <c r="FO96" i="14"/>
  <c r="FN96" i="14"/>
  <c r="FM96" i="14"/>
  <c r="FP95" i="14"/>
  <c r="FO95" i="14"/>
  <c r="FN95" i="14"/>
  <c r="FM95" i="14"/>
  <c r="FP94" i="14"/>
  <c r="FO94" i="14"/>
  <c r="FN94" i="14"/>
  <c r="FM94" i="14"/>
  <c r="FP93" i="14"/>
  <c r="FO93" i="14"/>
  <c r="FN93" i="14"/>
  <c r="FM93" i="14"/>
  <c r="FP92" i="14"/>
  <c r="FO92" i="14"/>
  <c r="FN92" i="14"/>
  <c r="FM92" i="14"/>
  <c r="FP91" i="14"/>
  <c r="FO91" i="14"/>
  <c r="FN91" i="14"/>
  <c r="FM91" i="14"/>
  <c r="FP90" i="14"/>
  <c r="FO90" i="14"/>
  <c r="FN90" i="14"/>
  <c r="FM90" i="14"/>
  <c r="FP49" i="14"/>
  <c r="FO49" i="14"/>
  <c r="FN49" i="14"/>
  <c r="FM49" i="14"/>
  <c r="FP48" i="14"/>
  <c r="FO48" i="14"/>
  <c r="FN48" i="14"/>
  <c r="FM48" i="14"/>
  <c r="FP47" i="14"/>
  <c r="FO47" i="14"/>
  <c r="FN47" i="14"/>
  <c r="FM47" i="14"/>
  <c r="FP46" i="14"/>
  <c r="FO46" i="14"/>
  <c r="FN46" i="14"/>
  <c r="FM46" i="14"/>
  <c r="FP45" i="14"/>
  <c r="FO45" i="14"/>
  <c r="FN45" i="14"/>
  <c r="FM45" i="14"/>
  <c r="FP44" i="14"/>
  <c r="FO44" i="14"/>
  <c r="FN44" i="14"/>
  <c r="FM44" i="14"/>
  <c r="FP43" i="14"/>
  <c r="FO43" i="14"/>
  <c r="FN43" i="14"/>
  <c r="FM43" i="14"/>
  <c r="FP42" i="14"/>
  <c r="FO42" i="14"/>
  <c r="FN42" i="14"/>
  <c r="FM42" i="14"/>
  <c r="FP40" i="14"/>
  <c r="FO40" i="14"/>
  <c r="FN40" i="14"/>
  <c r="FM40" i="14"/>
  <c r="FP39" i="14"/>
  <c r="FO39" i="14"/>
  <c r="FN39" i="14"/>
  <c r="FM39" i="14"/>
  <c r="FP38" i="14"/>
  <c r="FO38" i="14"/>
  <c r="FN38" i="14"/>
  <c r="FM38" i="14"/>
  <c r="GA38" i="14" s="1"/>
  <c r="FP37" i="14"/>
  <c r="FO37" i="14"/>
  <c r="FN37" i="14"/>
  <c r="FM37" i="14"/>
  <c r="FP36" i="14"/>
  <c r="FO36" i="14"/>
  <c r="FN36" i="14"/>
  <c r="FM36" i="14"/>
  <c r="FP35" i="14"/>
  <c r="FO35" i="14"/>
  <c r="FN35" i="14"/>
  <c r="FM35" i="14"/>
  <c r="FP34" i="14"/>
  <c r="FO34" i="14"/>
  <c r="FN34" i="14"/>
  <c r="FM34" i="14"/>
  <c r="FP33" i="14"/>
  <c r="FO33" i="14"/>
  <c r="FN33" i="14"/>
  <c r="FM33" i="14"/>
  <c r="FP32" i="14"/>
  <c r="FO32" i="14"/>
  <c r="FN32" i="14"/>
  <c r="FM32" i="14"/>
  <c r="FP30" i="14"/>
  <c r="FO30" i="14"/>
  <c r="FN30" i="14"/>
  <c r="FM30" i="14"/>
  <c r="FP29" i="14"/>
  <c r="FO29" i="14"/>
  <c r="FN29" i="14"/>
  <c r="FM29" i="14"/>
  <c r="GA117" i="14" l="1"/>
  <c r="GA116" i="14"/>
  <c r="GA115" i="14"/>
  <c r="GA114" i="14"/>
  <c r="GA113" i="14"/>
  <c r="GA112" i="14"/>
  <c r="GA111" i="14"/>
  <c r="GA110" i="14"/>
  <c r="GA109" i="14"/>
  <c r="GA108" i="14"/>
  <c r="GA107" i="14"/>
  <c r="GA106" i="14"/>
  <c r="GA105" i="14"/>
  <c r="GA104" i="14"/>
  <c r="GA103" i="14"/>
  <c r="GA102" i="14"/>
  <c r="GA101" i="14"/>
  <c r="GA100" i="14"/>
  <c r="GA99" i="14"/>
  <c r="GA98" i="14"/>
  <c r="GA97" i="14"/>
  <c r="GA96" i="14"/>
  <c r="GA95" i="14"/>
  <c r="GA94" i="14"/>
  <c r="GA93" i="14"/>
  <c r="GA92" i="14"/>
  <c r="GA91" i="14"/>
  <c r="GA90" i="14"/>
  <c r="GA49" i="14"/>
  <c r="GA48" i="14"/>
  <c r="GA47" i="14"/>
  <c r="GA46" i="14"/>
  <c r="GA45" i="14"/>
  <c r="GA44" i="14"/>
  <c r="GA43" i="14"/>
  <c r="GA42" i="14"/>
  <c r="GA40" i="14"/>
  <c r="GA39" i="14"/>
  <c r="GA37" i="14"/>
  <c r="GA36" i="14"/>
  <c r="GA35" i="14"/>
  <c r="GA34" i="14"/>
  <c r="GA33" i="14"/>
  <c r="GA32" i="14"/>
  <c r="GA30" i="14"/>
  <c r="GA29" i="14"/>
  <c r="ED157" i="14"/>
  <c r="ED156" i="14"/>
  <c r="ED155" i="14"/>
  <c r="ED154" i="14"/>
  <c r="ED153" i="14"/>
  <c r="ED152" i="14"/>
  <c r="ED151" i="14"/>
  <c r="ED150" i="14"/>
  <c r="ED149" i="14"/>
  <c r="ED148" i="14"/>
  <c r="ED147" i="14"/>
  <c r="ED146" i="14"/>
  <c r="ED145" i="14"/>
  <c r="ED144" i="14"/>
  <c r="ED143" i="14"/>
  <c r="ED142" i="14"/>
  <c r="ED141" i="14"/>
  <c r="ED140" i="14"/>
  <c r="ED139" i="14"/>
  <c r="ED138" i="14"/>
  <c r="ED137" i="14"/>
  <c r="ED136" i="14"/>
  <c r="ED135" i="14"/>
  <c r="ED134" i="14"/>
  <c r="ED133" i="14"/>
  <c r="ED132" i="14"/>
  <c r="ED131" i="14"/>
  <c r="ED130" i="14"/>
  <c r="ED117" i="14"/>
  <c r="ED116" i="14"/>
  <c r="ED115" i="14"/>
  <c r="ED114" i="14"/>
  <c r="ED113" i="14"/>
  <c r="ED112" i="14"/>
  <c r="ED111" i="14"/>
  <c r="ED110" i="14"/>
  <c r="ED109" i="14"/>
  <c r="ED108" i="14"/>
  <c r="ED107" i="14"/>
  <c r="ED106" i="14"/>
  <c r="ED105" i="14"/>
  <c r="ED104" i="14"/>
  <c r="ED103" i="14"/>
  <c r="ED102" i="14"/>
  <c r="ED101" i="14"/>
  <c r="ED100" i="14"/>
  <c r="ED99" i="14"/>
  <c r="ED98" i="14"/>
  <c r="ED97" i="14"/>
  <c r="ED96" i="14"/>
  <c r="ED95" i="14"/>
  <c r="ED94" i="14"/>
  <c r="ED93" i="14"/>
  <c r="ED92" i="14"/>
  <c r="ED91" i="14"/>
  <c r="ED90" i="14"/>
  <c r="EC164" i="14"/>
  <c r="EB164" i="14"/>
  <c r="EA164" i="14"/>
  <c r="DZ164" i="14"/>
  <c r="DY164" i="14"/>
  <c r="DX164" i="14"/>
  <c r="DW164" i="14"/>
  <c r="DV164" i="14"/>
  <c r="DU164" i="14"/>
  <c r="DT164" i="14"/>
  <c r="DS164" i="14"/>
  <c r="DR164" i="14"/>
  <c r="EC163" i="14"/>
  <c r="EB163" i="14"/>
  <c r="EA163" i="14"/>
  <c r="DZ163" i="14"/>
  <c r="DY163" i="14"/>
  <c r="DX163" i="14"/>
  <c r="DW163" i="14"/>
  <c r="DV163" i="14"/>
  <c r="DU163" i="14"/>
  <c r="DT163" i="14"/>
  <c r="DS163" i="14"/>
  <c r="DR163" i="14"/>
  <c r="EC162" i="14"/>
  <c r="EB162" i="14"/>
  <c r="EA162" i="14"/>
  <c r="DZ162" i="14"/>
  <c r="DY162" i="14"/>
  <c r="DX162" i="14"/>
  <c r="DW162" i="14"/>
  <c r="DV162" i="14"/>
  <c r="DU162" i="14"/>
  <c r="DT162" i="14"/>
  <c r="DS162" i="14"/>
  <c r="DR162" i="14"/>
  <c r="EC161" i="14"/>
  <c r="EB161" i="14"/>
  <c r="EA161" i="14"/>
  <c r="DZ161" i="14"/>
  <c r="DY161" i="14"/>
  <c r="DX161" i="14"/>
  <c r="DW161" i="14"/>
  <c r="DV161" i="14"/>
  <c r="DU161" i="14"/>
  <c r="DT161" i="14"/>
  <c r="DS161" i="14"/>
  <c r="DR161" i="14"/>
  <c r="EC160" i="14"/>
  <c r="EB160" i="14"/>
  <c r="EA160" i="14"/>
  <c r="DZ160" i="14"/>
  <c r="DY160" i="14"/>
  <c r="DX160" i="14"/>
  <c r="DW160" i="14"/>
  <c r="DV160" i="14"/>
  <c r="DU160" i="14"/>
  <c r="DT160" i="14"/>
  <c r="DS160" i="14"/>
  <c r="DR160" i="14"/>
  <c r="EC159" i="14"/>
  <c r="EB159" i="14"/>
  <c r="EA159" i="14"/>
  <c r="DZ159" i="14"/>
  <c r="DY159" i="14"/>
  <c r="DX159" i="14"/>
  <c r="DW159" i="14"/>
  <c r="DV159" i="14"/>
  <c r="DU159" i="14"/>
  <c r="DT159" i="14"/>
  <c r="DS159" i="14"/>
  <c r="DR159" i="14"/>
  <c r="EC158" i="14"/>
  <c r="EB158" i="14"/>
  <c r="EA158" i="14"/>
  <c r="DZ158" i="14"/>
  <c r="DY158" i="14"/>
  <c r="DX158" i="14"/>
  <c r="DW158" i="14"/>
  <c r="DV158" i="14"/>
  <c r="DU158" i="14"/>
  <c r="DT158" i="14"/>
  <c r="DS158" i="14"/>
  <c r="DR158" i="14"/>
  <c r="EC124" i="14"/>
  <c r="EB124" i="14"/>
  <c r="EA124" i="14"/>
  <c r="DZ124" i="14"/>
  <c r="DY124" i="14"/>
  <c r="DX124" i="14"/>
  <c r="DW124" i="14"/>
  <c r="DV124" i="14"/>
  <c r="DU124" i="14"/>
  <c r="DT124" i="14"/>
  <c r="DS124" i="14"/>
  <c r="DR124" i="14"/>
  <c r="EC123" i="14"/>
  <c r="EB123" i="14"/>
  <c r="EA123" i="14"/>
  <c r="DZ123" i="14"/>
  <c r="DY123" i="14"/>
  <c r="DX123" i="14"/>
  <c r="DW123" i="14"/>
  <c r="DV123" i="14"/>
  <c r="DU123" i="14"/>
  <c r="DT123" i="14"/>
  <c r="DS123" i="14"/>
  <c r="DR123" i="14"/>
  <c r="EC122" i="14"/>
  <c r="EB122" i="14"/>
  <c r="EA122" i="14"/>
  <c r="DZ122" i="14"/>
  <c r="DY122" i="14"/>
  <c r="DX122" i="14"/>
  <c r="DW122" i="14"/>
  <c r="DV122" i="14"/>
  <c r="DU122" i="14"/>
  <c r="DT122" i="14"/>
  <c r="DS122" i="14"/>
  <c r="DR122" i="14"/>
  <c r="EC121" i="14"/>
  <c r="EB121" i="14"/>
  <c r="EA121" i="14"/>
  <c r="DZ121" i="14"/>
  <c r="DY121" i="14"/>
  <c r="DX121" i="14"/>
  <c r="DW121" i="14"/>
  <c r="DV121" i="14"/>
  <c r="DU121" i="14"/>
  <c r="DT121" i="14"/>
  <c r="DS121" i="14"/>
  <c r="DR121" i="14"/>
  <c r="EC120" i="14"/>
  <c r="EB120" i="14"/>
  <c r="EA120" i="14"/>
  <c r="DZ120" i="14"/>
  <c r="DY120" i="14"/>
  <c r="DX120" i="14"/>
  <c r="DW120" i="14"/>
  <c r="DV120" i="14"/>
  <c r="DU120" i="14"/>
  <c r="DT120" i="14"/>
  <c r="DS120" i="14"/>
  <c r="DR120" i="14"/>
  <c r="EC119" i="14"/>
  <c r="EB119" i="14"/>
  <c r="EA119" i="14"/>
  <c r="DZ119" i="14"/>
  <c r="DY119" i="14"/>
  <c r="DX119" i="14"/>
  <c r="DW119" i="14"/>
  <c r="DV119" i="14"/>
  <c r="DU119" i="14"/>
  <c r="DT119" i="14"/>
  <c r="DS119" i="14"/>
  <c r="DR119" i="14"/>
  <c r="EC118" i="14"/>
  <c r="EB118" i="14"/>
  <c r="EA118" i="14"/>
  <c r="DZ118" i="14"/>
  <c r="DY118" i="14"/>
  <c r="DX118" i="14"/>
  <c r="DW118" i="14"/>
  <c r="DV118" i="14"/>
  <c r="DU118" i="14"/>
  <c r="DT118" i="14"/>
  <c r="DS118" i="14"/>
  <c r="DR118" i="14"/>
  <c r="ED80" i="14"/>
  <c r="ED79" i="14"/>
  <c r="ED78" i="14"/>
  <c r="ED77" i="14"/>
  <c r="ED76" i="14"/>
  <c r="ED75" i="14"/>
  <c r="ED74" i="14"/>
  <c r="ED73" i="14"/>
  <c r="ED71" i="14"/>
  <c r="ED70" i="14"/>
  <c r="ED69" i="14"/>
  <c r="ED68" i="14"/>
  <c r="ED67" i="14"/>
  <c r="ED66" i="14"/>
  <c r="ED65" i="14"/>
  <c r="ED64" i="14"/>
  <c r="ED63" i="14"/>
  <c r="ED61" i="14"/>
  <c r="ED60" i="14"/>
  <c r="EC72" i="14"/>
  <c r="EB72" i="14"/>
  <c r="EA72" i="14"/>
  <c r="DZ72" i="14"/>
  <c r="DY72" i="14"/>
  <c r="DX72" i="14"/>
  <c r="DW72" i="14"/>
  <c r="DV72" i="14"/>
  <c r="DU72" i="14"/>
  <c r="DT72" i="14"/>
  <c r="DS72" i="14"/>
  <c r="DR72" i="14"/>
  <c r="EC62" i="14"/>
  <c r="EB62" i="14"/>
  <c r="EA62" i="14"/>
  <c r="DZ62" i="14"/>
  <c r="DY62" i="14"/>
  <c r="DX62" i="14"/>
  <c r="DW62" i="14"/>
  <c r="DV62" i="14"/>
  <c r="DU62" i="14"/>
  <c r="DT62" i="14"/>
  <c r="DS62" i="14"/>
  <c r="DR62" i="14"/>
  <c r="EC59" i="14"/>
  <c r="EB59" i="14"/>
  <c r="EA59" i="14"/>
  <c r="EA81" i="14" s="1"/>
  <c r="EA82" i="14" s="1"/>
  <c r="DZ59" i="14"/>
  <c r="DY59" i="14"/>
  <c r="DX59" i="14"/>
  <c r="DW59" i="14"/>
  <c r="DV59" i="14"/>
  <c r="DU59" i="14"/>
  <c r="DT59" i="14"/>
  <c r="DS59" i="14"/>
  <c r="DR59" i="14"/>
  <c r="ED49" i="14"/>
  <c r="ED48" i="14"/>
  <c r="ED47" i="14"/>
  <c r="ED46" i="14"/>
  <c r="ED45" i="14"/>
  <c r="ED44" i="14"/>
  <c r="ED43" i="14"/>
  <c r="ED42" i="14"/>
  <c r="ED40" i="14"/>
  <c r="ED39" i="14"/>
  <c r="ED38" i="14"/>
  <c r="ED37" i="14"/>
  <c r="ED36" i="14"/>
  <c r="ED35" i="14"/>
  <c r="ED34" i="14"/>
  <c r="ED33" i="14"/>
  <c r="ED32" i="14"/>
  <c r="ED30" i="14"/>
  <c r="ED29" i="14"/>
  <c r="EC41" i="14"/>
  <c r="EB41" i="14"/>
  <c r="EA41" i="14"/>
  <c r="DZ41" i="14"/>
  <c r="DY41" i="14"/>
  <c r="DX41" i="14"/>
  <c r="DW41" i="14"/>
  <c r="DV41" i="14"/>
  <c r="DU41" i="14"/>
  <c r="DT41" i="14"/>
  <c r="DS41" i="14"/>
  <c r="DR41" i="14"/>
  <c r="EC31" i="14"/>
  <c r="EB31" i="14"/>
  <c r="EA31" i="14"/>
  <c r="DZ31" i="14"/>
  <c r="DY31" i="14"/>
  <c r="DX31" i="14"/>
  <c r="DW31" i="14"/>
  <c r="DV31" i="14"/>
  <c r="DU31" i="14"/>
  <c r="DT31" i="14"/>
  <c r="DS31" i="14"/>
  <c r="DR31" i="14"/>
  <c r="EC28" i="14"/>
  <c r="EB28" i="14"/>
  <c r="EA28" i="14"/>
  <c r="DZ28" i="14"/>
  <c r="DY28" i="14"/>
  <c r="DX28" i="14"/>
  <c r="DW28" i="14"/>
  <c r="DV28" i="14"/>
  <c r="DU28" i="14"/>
  <c r="DT28" i="14"/>
  <c r="DS28" i="14"/>
  <c r="DR28" i="14"/>
  <c r="EC8" i="14"/>
  <c r="EB8" i="14"/>
  <c r="EA8" i="14"/>
  <c r="DZ8" i="14"/>
  <c r="DY8" i="14"/>
  <c r="DX8" i="14"/>
  <c r="DW8" i="14"/>
  <c r="DV8" i="14"/>
  <c r="DU8" i="14"/>
  <c r="DT8" i="14"/>
  <c r="DS8" i="14"/>
  <c r="DR8" i="14"/>
  <c r="FM118" i="14" l="1"/>
  <c r="FP118" i="14"/>
  <c r="FO118" i="14"/>
  <c r="FN118" i="14"/>
  <c r="DW81" i="14"/>
  <c r="DW82" i="14" s="1"/>
  <c r="DS81" i="14"/>
  <c r="DS82" i="14" s="1"/>
  <c r="EC81" i="14"/>
  <c r="EC82" i="14" s="1"/>
  <c r="DU81" i="14"/>
  <c r="DU82" i="14" s="1"/>
  <c r="DR81" i="14"/>
  <c r="DR82" i="14" s="1"/>
  <c r="EB81" i="14"/>
  <c r="EB82" i="14" s="1"/>
  <c r="DZ81" i="14"/>
  <c r="DZ82" i="14" s="1"/>
  <c r="DY81" i="14"/>
  <c r="DY82" i="14" s="1"/>
  <c r="DX81" i="14"/>
  <c r="DX82" i="14" s="1"/>
  <c r="DV81" i="14"/>
  <c r="DV82" i="14" s="1"/>
  <c r="DT81" i="14"/>
  <c r="DT82" i="14" s="1"/>
  <c r="FP41" i="14"/>
  <c r="FO41" i="14"/>
  <c r="FN41" i="14"/>
  <c r="FM41" i="14"/>
  <c r="DS50" i="14"/>
  <c r="DY50" i="14"/>
  <c r="FO31" i="14"/>
  <c r="DW50" i="14"/>
  <c r="EC50" i="14"/>
  <c r="EB50" i="14"/>
  <c r="FP31" i="14"/>
  <c r="DZ50" i="14"/>
  <c r="FN31" i="14"/>
  <c r="DV50" i="14"/>
  <c r="FM31" i="14"/>
  <c r="DT50" i="14"/>
  <c r="EA50" i="14"/>
  <c r="FP28" i="14"/>
  <c r="DX50" i="14"/>
  <c r="FO28" i="14"/>
  <c r="DU50" i="14"/>
  <c r="FN28" i="14"/>
  <c r="DR50" i="14"/>
  <c r="FM28" i="14"/>
  <c r="Q472" i="27"/>
  <c r="GA118" i="14" l="1"/>
  <c r="GA41" i="14"/>
  <c r="GA31" i="14"/>
  <c r="FP50" i="14"/>
  <c r="FO50" i="14"/>
  <c r="FN50" i="14"/>
  <c r="FM50" i="14"/>
  <c r="GA28" i="14"/>
  <c r="CE179" i="14"/>
  <c r="CD179" i="14"/>
  <c r="CG178" i="14"/>
  <c r="CF178" i="14"/>
  <c r="CE178" i="14"/>
  <c r="CD178" i="14"/>
  <c r="GA50" i="14" l="1"/>
  <c r="CC179" i="14"/>
  <c r="Q142" i="27"/>
  <c r="Q365" i="27"/>
  <c r="CC178" i="14" l="1"/>
  <c r="Q143" i="27"/>
  <c r="AK43" i="5" l="1"/>
  <c r="AK42" i="5"/>
  <c r="AK41" i="5"/>
  <c r="AK40" i="5"/>
  <c r="AK39" i="5"/>
  <c r="AK38" i="5"/>
  <c r="AK37" i="5"/>
  <c r="AK36" i="5"/>
  <c r="AK35" i="5"/>
  <c r="AK34" i="5"/>
  <c r="AK33" i="5"/>
  <c r="AK32" i="5"/>
  <c r="AK31" i="5"/>
  <c r="AK30" i="5"/>
  <c r="AK29" i="5"/>
  <c r="AK28" i="5"/>
  <c r="AK27" i="5"/>
  <c r="AK26" i="5"/>
  <c r="AK25" i="5"/>
  <c r="AK24" i="5"/>
  <c r="AK23" i="5"/>
  <c r="AK22" i="5"/>
  <c r="AK21" i="5"/>
  <c r="AK20" i="5"/>
  <c r="AK19" i="5"/>
  <c r="CB179" i="14"/>
  <c r="CB178" i="14" s="1"/>
  <c r="CB181" i="14" l="1"/>
  <c r="CA179" i="14"/>
  <c r="CA178" i="14"/>
  <c r="BZ179" i="14" l="1"/>
  <c r="BZ178" i="14" s="1"/>
  <c r="CA181" i="14" l="1"/>
  <c r="BY179" i="14"/>
  <c r="BY178" i="14"/>
  <c r="BZ181" i="14" l="1"/>
  <c r="Q35" i="27"/>
  <c r="L31" i="27"/>
  <c r="Q23" i="27"/>
  <c r="Q22" i="27"/>
  <c r="Q20" i="27"/>
  <c r="L12" i="27"/>
  <c r="Q12" i="27"/>
  <c r="Q11" i="27"/>
  <c r="L11" i="27"/>
  <c r="Q164" i="27" l="1"/>
  <c r="Q162" i="27"/>
  <c r="Q161" i="27"/>
  <c r="Q160" i="27"/>
  <c r="Q159" i="27"/>
  <c r="Q158" i="27"/>
  <c r="Q157" i="27"/>
  <c r="Q156" i="27"/>
  <c r="Q155" i="27"/>
  <c r="BX178" i="14" l="1"/>
  <c r="BY181" i="14" s="1"/>
  <c r="BX179" i="14"/>
  <c r="Q645" i="27" l="1"/>
  <c r="W743" i="27"/>
  <c r="BW179" i="14" l="1"/>
  <c r="BW178" i="14" s="1"/>
  <c r="W747" i="27"/>
  <c r="Q747" i="27"/>
  <c r="BX181" i="14" l="1"/>
  <c r="BV179" i="14"/>
  <c r="BV178" i="14"/>
  <c r="BW181" i="14" l="1"/>
  <c r="FL117" i="14"/>
  <c r="FL116" i="14"/>
  <c r="FL115" i="14"/>
  <c r="FL114" i="14"/>
  <c r="FL113" i="14"/>
  <c r="FL112" i="14"/>
  <c r="FL111" i="14"/>
  <c r="FL110" i="14"/>
  <c r="FL109" i="14"/>
  <c r="FL108" i="14"/>
  <c r="FL107" i="14"/>
  <c r="FL106" i="14"/>
  <c r="FL105" i="14"/>
  <c r="FL104" i="14"/>
  <c r="FL103" i="14"/>
  <c r="FL102" i="14"/>
  <c r="FL101" i="14"/>
  <c r="FL100" i="14"/>
  <c r="FL99" i="14"/>
  <c r="FL98" i="14"/>
  <c r="FL97" i="14"/>
  <c r="FL96" i="14"/>
  <c r="FL95" i="14"/>
  <c r="FL94" i="14"/>
  <c r="FL93" i="14"/>
  <c r="FL92" i="14"/>
  <c r="FL91" i="14"/>
  <c r="FL90" i="14"/>
  <c r="FL49" i="14"/>
  <c r="FL48" i="14"/>
  <c r="FL47" i="14"/>
  <c r="FL46" i="14"/>
  <c r="FL45" i="14"/>
  <c r="FL44" i="14"/>
  <c r="FL43" i="14"/>
  <c r="FL42" i="14"/>
  <c r="FL40" i="14"/>
  <c r="FL39" i="14"/>
  <c r="FL38" i="14"/>
  <c r="FL37" i="14"/>
  <c r="FL36" i="14"/>
  <c r="FL35" i="14"/>
  <c r="FL34" i="14"/>
  <c r="FL33" i="14"/>
  <c r="FL32" i="14"/>
  <c r="FL30" i="14"/>
  <c r="FL29" i="14"/>
  <c r="FK117" i="14"/>
  <c r="FK116" i="14"/>
  <c r="FK115" i="14"/>
  <c r="FK114" i="14"/>
  <c r="FK113" i="14"/>
  <c r="FK112" i="14"/>
  <c r="FK111" i="14"/>
  <c r="FK110" i="14"/>
  <c r="FK109" i="14"/>
  <c r="FK108" i="14"/>
  <c r="FK107" i="14"/>
  <c r="FK106" i="14"/>
  <c r="FK105" i="14"/>
  <c r="FK104" i="14"/>
  <c r="FK103" i="14"/>
  <c r="FK102" i="14"/>
  <c r="FK101" i="14"/>
  <c r="FK100" i="14"/>
  <c r="FK99" i="14"/>
  <c r="FK98" i="14"/>
  <c r="FK97" i="14"/>
  <c r="FK96" i="14"/>
  <c r="FK95" i="14"/>
  <c r="FK94" i="14"/>
  <c r="FK93" i="14"/>
  <c r="FK92" i="14"/>
  <c r="FK91" i="14"/>
  <c r="FK90" i="14"/>
  <c r="FK49" i="14"/>
  <c r="FK48" i="14"/>
  <c r="FK47" i="14"/>
  <c r="FK46" i="14"/>
  <c r="FK45" i="14"/>
  <c r="FK44" i="14"/>
  <c r="FK43" i="14"/>
  <c r="FK42" i="14"/>
  <c r="FK40" i="14"/>
  <c r="FK39" i="14"/>
  <c r="FK38" i="14"/>
  <c r="FK37" i="14"/>
  <c r="FK36" i="14"/>
  <c r="FK35" i="14"/>
  <c r="FK34" i="14"/>
  <c r="FK33" i="14"/>
  <c r="FK32" i="14"/>
  <c r="FK30" i="14"/>
  <c r="FK29" i="14"/>
  <c r="FJ117" i="14"/>
  <c r="FJ116" i="14"/>
  <c r="FJ115" i="14"/>
  <c r="FJ114" i="14"/>
  <c r="FJ113" i="14"/>
  <c r="FJ112" i="14"/>
  <c r="FJ111" i="14"/>
  <c r="FJ110" i="14"/>
  <c r="FJ109" i="14"/>
  <c r="FJ108" i="14"/>
  <c r="FJ107" i="14"/>
  <c r="FJ106" i="14"/>
  <c r="FJ105" i="14"/>
  <c r="FJ104" i="14"/>
  <c r="FJ103" i="14"/>
  <c r="FJ102" i="14"/>
  <c r="FJ101" i="14"/>
  <c r="FJ100" i="14"/>
  <c r="FJ99" i="14"/>
  <c r="FJ98" i="14"/>
  <c r="FJ97" i="14"/>
  <c r="FJ96" i="14"/>
  <c r="FJ95" i="14"/>
  <c r="FJ94" i="14"/>
  <c r="FJ93" i="14"/>
  <c r="FJ92" i="14"/>
  <c r="FJ91" i="14"/>
  <c r="FJ90" i="14"/>
  <c r="FJ49" i="14"/>
  <c r="FJ48" i="14"/>
  <c r="FJ47" i="14"/>
  <c r="FJ46" i="14"/>
  <c r="FJ45" i="14"/>
  <c r="FJ44" i="14"/>
  <c r="FJ43" i="14"/>
  <c r="FJ42" i="14"/>
  <c r="FJ40" i="14"/>
  <c r="FJ39" i="14"/>
  <c r="FJ38" i="14"/>
  <c r="FJ37" i="14"/>
  <c r="FJ36" i="14"/>
  <c r="FJ35" i="14"/>
  <c r="FJ34" i="14"/>
  <c r="FJ33" i="14"/>
  <c r="FJ32" i="14"/>
  <c r="FJ30" i="14"/>
  <c r="FJ29" i="14"/>
  <c r="FI117" i="14"/>
  <c r="FI116" i="14"/>
  <c r="FZ116" i="14" s="1"/>
  <c r="FI115" i="14"/>
  <c r="FI114" i="14"/>
  <c r="FI113" i="14"/>
  <c r="FI112" i="14"/>
  <c r="FI111" i="14"/>
  <c r="FI110" i="14"/>
  <c r="FI109" i="14"/>
  <c r="FI108" i="14"/>
  <c r="FZ108" i="14" s="1"/>
  <c r="FI107" i="14"/>
  <c r="FI106" i="14"/>
  <c r="FI105" i="14"/>
  <c r="FI104" i="14"/>
  <c r="FI103" i="14"/>
  <c r="FI102" i="14"/>
  <c r="FI101" i="14"/>
  <c r="FI100" i="14"/>
  <c r="FZ100" i="14" s="1"/>
  <c r="FI99" i="14"/>
  <c r="FI98" i="14"/>
  <c r="FI97" i="14"/>
  <c r="FI96" i="14"/>
  <c r="FI95" i="14"/>
  <c r="FI94" i="14"/>
  <c r="FI93" i="14"/>
  <c r="FI92" i="14"/>
  <c r="FI91" i="14"/>
  <c r="FI90" i="14"/>
  <c r="FI49" i="14"/>
  <c r="FI48" i="14"/>
  <c r="FI47" i="14"/>
  <c r="FI46" i="14"/>
  <c r="FI45" i="14"/>
  <c r="FI44" i="14"/>
  <c r="FI43" i="14"/>
  <c r="FI42" i="14"/>
  <c r="FI40" i="14"/>
  <c r="FI39" i="14"/>
  <c r="FZ39" i="14" s="1"/>
  <c r="FI38" i="14"/>
  <c r="FI37" i="14"/>
  <c r="FI36" i="14"/>
  <c r="FI35" i="14"/>
  <c r="FI34" i="14"/>
  <c r="FI33" i="14"/>
  <c r="FI32" i="14"/>
  <c r="FI30" i="14"/>
  <c r="FI29" i="14"/>
  <c r="DQ164" i="14"/>
  <c r="DP164" i="14"/>
  <c r="DO164" i="14"/>
  <c r="DN164" i="14"/>
  <c r="DM164" i="14"/>
  <c r="DL164" i="14"/>
  <c r="DK164" i="14"/>
  <c r="DJ164" i="14"/>
  <c r="DI164" i="14"/>
  <c r="DH164" i="14"/>
  <c r="DG164" i="14"/>
  <c r="DF164" i="14"/>
  <c r="DQ163" i="14"/>
  <c r="DP163" i="14"/>
  <c r="DO163" i="14"/>
  <c r="DN163" i="14"/>
  <c r="DM163" i="14"/>
  <c r="DL163" i="14"/>
  <c r="DK163" i="14"/>
  <c r="DJ163" i="14"/>
  <c r="DI163" i="14"/>
  <c r="DH163" i="14"/>
  <c r="DG163" i="14"/>
  <c r="DF163" i="14"/>
  <c r="DQ162" i="14"/>
  <c r="DP162" i="14"/>
  <c r="DO162" i="14"/>
  <c r="DN162" i="14"/>
  <c r="DM162" i="14"/>
  <c r="DL162" i="14"/>
  <c r="DK162" i="14"/>
  <c r="DJ162" i="14"/>
  <c r="DI162" i="14"/>
  <c r="DH162" i="14"/>
  <c r="DG162" i="14"/>
  <c r="DF162" i="14"/>
  <c r="DQ161" i="14"/>
  <c r="DP161" i="14"/>
  <c r="DO161" i="14"/>
  <c r="DN161" i="14"/>
  <c r="DM161" i="14"/>
  <c r="DL161" i="14"/>
  <c r="DK161" i="14"/>
  <c r="DJ161" i="14"/>
  <c r="DI161" i="14"/>
  <c r="DH161" i="14"/>
  <c r="DG161" i="14"/>
  <c r="DF161" i="14"/>
  <c r="DQ160" i="14"/>
  <c r="DP160" i="14"/>
  <c r="DO160" i="14"/>
  <c r="DN160" i="14"/>
  <c r="DM160" i="14"/>
  <c r="DL160" i="14"/>
  <c r="DK160" i="14"/>
  <c r="DJ160" i="14"/>
  <c r="DI160" i="14"/>
  <c r="DH160" i="14"/>
  <c r="DG160" i="14"/>
  <c r="DF160" i="14"/>
  <c r="DQ159" i="14"/>
  <c r="DP159" i="14"/>
  <c r="DO159" i="14"/>
  <c r="DN159" i="14"/>
  <c r="DM159" i="14"/>
  <c r="DL159" i="14"/>
  <c r="DK159" i="14"/>
  <c r="DJ159" i="14"/>
  <c r="DI159" i="14"/>
  <c r="DH159" i="14"/>
  <c r="DG159" i="14"/>
  <c r="DF159" i="14"/>
  <c r="DQ158" i="14"/>
  <c r="DP158" i="14"/>
  <c r="DO158" i="14"/>
  <c r="DN158" i="14"/>
  <c r="DM158" i="14"/>
  <c r="DL158" i="14"/>
  <c r="DK158" i="14"/>
  <c r="DJ158" i="14"/>
  <c r="DI158" i="14"/>
  <c r="DH158" i="14"/>
  <c r="DG158" i="14"/>
  <c r="DF158" i="14"/>
  <c r="DQ124" i="14"/>
  <c r="DP124" i="14"/>
  <c r="DO124" i="14"/>
  <c r="DN124" i="14"/>
  <c r="DM124" i="14"/>
  <c r="DL124" i="14"/>
  <c r="DK124" i="14"/>
  <c r="DJ124" i="14"/>
  <c r="DI124" i="14"/>
  <c r="DH124" i="14"/>
  <c r="DG124" i="14"/>
  <c r="DF124" i="14"/>
  <c r="DQ123" i="14"/>
  <c r="DP123" i="14"/>
  <c r="DO123" i="14"/>
  <c r="DN123" i="14"/>
  <c r="DM123" i="14"/>
  <c r="DL123" i="14"/>
  <c r="DK123" i="14"/>
  <c r="DJ123" i="14"/>
  <c r="DI123" i="14"/>
  <c r="DH123" i="14"/>
  <c r="DG123" i="14"/>
  <c r="DF123" i="14"/>
  <c r="DQ122" i="14"/>
  <c r="DP122" i="14"/>
  <c r="DO122" i="14"/>
  <c r="DN122" i="14"/>
  <c r="DM122" i="14"/>
  <c r="DL122" i="14"/>
  <c r="DK122" i="14"/>
  <c r="DJ122" i="14"/>
  <c r="DI122" i="14"/>
  <c r="DH122" i="14"/>
  <c r="DG122" i="14"/>
  <c r="DF122" i="14"/>
  <c r="DQ121" i="14"/>
  <c r="DP121" i="14"/>
  <c r="DO121" i="14"/>
  <c r="DN121" i="14"/>
  <c r="DM121" i="14"/>
  <c r="DL121" i="14"/>
  <c r="DK121" i="14"/>
  <c r="DJ121" i="14"/>
  <c r="DI121" i="14"/>
  <c r="DH121" i="14"/>
  <c r="DG121" i="14"/>
  <c r="DF121" i="14"/>
  <c r="DQ120" i="14"/>
  <c r="DP120" i="14"/>
  <c r="DO120" i="14"/>
  <c r="DN120" i="14"/>
  <c r="DM120" i="14"/>
  <c r="DL120" i="14"/>
  <c r="DK120" i="14"/>
  <c r="DJ120" i="14"/>
  <c r="DI120" i="14"/>
  <c r="DH120" i="14"/>
  <c r="DG120" i="14"/>
  <c r="DF120" i="14"/>
  <c r="DQ119" i="14"/>
  <c r="DP119" i="14"/>
  <c r="DO119" i="14"/>
  <c r="DN119" i="14"/>
  <c r="DM119" i="14"/>
  <c r="DL119" i="14"/>
  <c r="DK119" i="14"/>
  <c r="DJ119" i="14"/>
  <c r="DI119" i="14"/>
  <c r="DH119" i="14"/>
  <c r="DG119" i="14"/>
  <c r="DF119" i="14"/>
  <c r="DQ118" i="14"/>
  <c r="DP118" i="14"/>
  <c r="DO118" i="14"/>
  <c r="DN118" i="14"/>
  <c r="DM118" i="14"/>
  <c r="DL118" i="14"/>
  <c r="DK118" i="14"/>
  <c r="DJ118" i="14"/>
  <c r="DI118" i="14"/>
  <c r="DH118" i="14"/>
  <c r="DG118" i="14"/>
  <c r="DF118" i="14"/>
  <c r="DQ72" i="14"/>
  <c r="DP72" i="14"/>
  <c r="DO72" i="14"/>
  <c r="DN72" i="14"/>
  <c r="DM72" i="14"/>
  <c r="DL72" i="14"/>
  <c r="DK72" i="14"/>
  <c r="DJ72" i="14"/>
  <c r="DI72" i="14"/>
  <c r="DH72" i="14"/>
  <c r="DG72" i="14"/>
  <c r="DF72" i="14"/>
  <c r="DQ62" i="14"/>
  <c r="DP62" i="14"/>
  <c r="DO62" i="14"/>
  <c r="DN62" i="14"/>
  <c r="DM62" i="14"/>
  <c r="DL62" i="14"/>
  <c r="DK62" i="14"/>
  <c r="DJ62" i="14"/>
  <c r="DI62" i="14"/>
  <c r="DH62" i="14"/>
  <c r="DG62" i="14"/>
  <c r="DF62" i="14"/>
  <c r="DQ59" i="14"/>
  <c r="DP59" i="14"/>
  <c r="DO59" i="14"/>
  <c r="DN59" i="14"/>
  <c r="DN81" i="14" s="1"/>
  <c r="DN82" i="14" s="1"/>
  <c r="DM59" i="14"/>
  <c r="DL59" i="14"/>
  <c r="DK59" i="14"/>
  <c r="DJ59" i="14"/>
  <c r="DJ81" i="14" s="1"/>
  <c r="DJ82" i="14" s="1"/>
  <c r="DI59" i="14"/>
  <c r="DH59" i="14"/>
  <c r="DG59" i="14"/>
  <c r="DF59" i="14"/>
  <c r="DF81" i="14" s="1"/>
  <c r="DF82" i="14" s="1"/>
  <c r="DQ41" i="14"/>
  <c r="DP41" i="14"/>
  <c r="DO41" i="14"/>
  <c r="DN41" i="14"/>
  <c r="DM41" i="14"/>
  <c r="DL41" i="14"/>
  <c r="DK41" i="14"/>
  <c r="DJ41" i="14"/>
  <c r="DI41" i="14"/>
  <c r="DH41" i="14"/>
  <c r="DG41" i="14"/>
  <c r="DF41" i="14"/>
  <c r="DQ31" i="14"/>
  <c r="DP31" i="14"/>
  <c r="DO31" i="14"/>
  <c r="DN31" i="14"/>
  <c r="DM31" i="14"/>
  <c r="DL31" i="14"/>
  <c r="DK31" i="14"/>
  <c r="DJ31" i="14"/>
  <c r="DI31" i="14"/>
  <c r="DH31" i="14"/>
  <c r="DG31" i="14"/>
  <c r="DF31" i="14"/>
  <c r="DQ28" i="14"/>
  <c r="DP28" i="14"/>
  <c r="DO28" i="14"/>
  <c r="DN28" i="14"/>
  <c r="DN50" i="14" s="1"/>
  <c r="DM28" i="14"/>
  <c r="DL28" i="14"/>
  <c r="DK28" i="14"/>
  <c r="DJ28" i="14"/>
  <c r="DI28" i="14"/>
  <c r="DH28" i="14"/>
  <c r="DG28" i="14"/>
  <c r="DF28" i="14"/>
  <c r="DQ8" i="14"/>
  <c r="DP8" i="14"/>
  <c r="DO8" i="14"/>
  <c r="DN8" i="14"/>
  <c r="DM8" i="14"/>
  <c r="DL8" i="14"/>
  <c r="DK8" i="14"/>
  <c r="DJ8" i="14"/>
  <c r="DI8" i="14"/>
  <c r="DH8" i="14"/>
  <c r="DG8" i="14"/>
  <c r="DF8" i="14"/>
  <c r="FZ117" i="14" l="1"/>
  <c r="FZ115" i="14"/>
  <c r="FZ113" i="14"/>
  <c r="FZ112" i="14"/>
  <c r="FZ111" i="14"/>
  <c r="FZ109" i="14"/>
  <c r="FZ107" i="14"/>
  <c r="FZ105" i="14"/>
  <c r="FZ104" i="14"/>
  <c r="FZ103" i="14"/>
  <c r="FZ101" i="14"/>
  <c r="FZ99" i="14"/>
  <c r="FZ97" i="14"/>
  <c r="FZ96" i="14"/>
  <c r="FZ95" i="14"/>
  <c r="FZ93" i="14"/>
  <c r="FZ91" i="14"/>
  <c r="FI118" i="14"/>
  <c r="DQ81" i="14"/>
  <c r="DQ82" i="14" s="1"/>
  <c r="DI81" i="14"/>
  <c r="DI82" i="14" s="1"/>
  <c r="DM81" i="14"/>
  <c r="DM82" i="14" s="1"/>
  <c r="DO81" i="14"/>
  <c r="DO82" i="14" s="1"/>
  <c r="DH81" i="14"/>
  <c r="DH82" i="14" s="1"/>
  <c r="DP81" i="14"/>
  <c r="DP82" i="14" s="1"/>
  <c r="DL81" i="14"/>
  <c r="DL82" i="14" s="1"/>
  <c r="DK81" i="14"/>
  <c r="DK82" i="14" s="1"/>
  <c r="DG81" i="14"/>
  <c r="DG82" i="14" s="1"/>
  <c r="FZ48" i="14"/>
  <c r="FZ47" i="14"/>
  <c r="FZ44" i="14"/>
  <c r="FZ43" i="14"/>
  <c r="FZ38" i="14"/>
  <c r="DF50" i="14"/>
  <c r="DM50" i="14"/>
  <c r="DI50" i="14"/>
  <c r="FZ35" i="14"/>
  <c r="DJ50" i="14"/>
  <c r="FZ34" i="14"/>
  <c r="DH50" i="14"/>
  <c r="DL50" i="14"/>
  <c r="DG50" i="14"/>
  <c r="DQ50" i="14"/>
  <c r="DO50" i="14"/>
  <c r="DK50" i="14"/>
  <c r="FI31" i="14"/>
  <c r="FI41" i="14"/>
  <c r="FZ30" i="14"/>
  <c r="FZ32" i="14"/>
  <c r="FZ36" i="14"/>
  <c r="FZ40" i="14"/>
  <c r="FZ45" i="14"/>
  <c r="FZ49" i="14"/>
  <c r="FZ92" i="14"/>
  <c r="FJ31" i="14"/>
  <c r="FJ41" i="14"/>
  <c r="FK41" i="14"/>
  <c r="FL118" i="14"/>
  <c r="FZ33" i="14"/>
  <c r="FZ37" i="14"/>
  <c r="FZ42" i="14"/>
  <c r="FZ46" i="14"/>
  <c r="FZ90" i="14"/>
  <c r="FZ94" i="14"/>
  <c r="FZ98" i="14"/>
  <c r="FZ102" i="14"/>
  <c r="FZ106" i="14"/>
  <c r="FZ110" i="14"/>
  <c r="FZ114" i="14"/>
  <c r="FZ29" i="14"/>
  <c r="FL31" i="14"/>
  <c r="FL41" i="14"/>
  <c r="FJ118" i="14"/>
  <c r="FK31" i="14"/>
  <c r="FK118" i="14"/>
  <c r="FI28" i="14"/>
  <c r="FL28" i="14"/>
  <c r="FJ28" i="14"/>
  <c r="FK28" i="14"/>
  <c r="DP50" i="14"/>
  <c r="BU179" i="14"/>
  <c r="FI50" i="14" l="1"/>
  <c r="FJ50" i="14"/>
  <c r="FZ41" i="14"/>
  <c r="FK50" i="14"/>
  <c r="FL50" i="14"/>
  <c r="FZ31" i="14"/>
  <c r="FZ28" i="14"/>
  <c r="FZ118" i="14"/>
  <c r="FZ50" i="14" l="1"/>
  <c r="Q569" i="27"/>
  <c r="O537" i="27" l="1"/>
  <c r="BT179" i="14" l="1"/>
  <c r="Q234" i="27" l="1"/>
  <c r="W234" i="27" s="1"/>
  <c r="Q233" i="27"/>
  <c r="W233" i="27" s="1"/>
  <c r="Q232" i="27"/>
  <c r="W232" i="27" s="1"/>
  <c r="BS179" i="14" l="1"/>
  <c r="Q145" i="27"/>
  <c r="Q197" i="27" l="1"/>
  <c r="Q196" i="27"/>
  <c r="Q195" i="27"/>
  <c r="Q194" i="27"/>
  <c r="Q193" i="27"/>
  <c r="Q192" i="27"/>
  <c r="Q191" i="27"/>
  <c r="Q190" i="27"/>
  <c r="Q476" i="27"/>
  <c r="Q475" i="27"/>
  <c r="O536" i="27" l="1"/>
  <c r="BR179" i="14" l="1"/>
  <c r="Q744" i="27" l="1"/>
  <c r="W744" i="27" s="1"/>
  <c r="Q725" i="27"/>
  <c r="Q691" i="27"/>
  <c r="Q704" i="27"/>
  <c r="W704" i="27" s="1"/>
  <c r="Q703" i="27"/>
  <c r="W703" i="27" s="1"/>
  <c r="Q693" i="27"/>
  <c r="Q692" i="27"/>
  <c r="W692" i="27" s="1"/>
  <c r="Q688" i="27"/>
  <c r="Q685" i="27"/>
  <c r="BQ179" i="14" l="1"/>
  <c r="L535" i="27"/>
  <c r="L534" i="27"/>
  <c r="Q318" i="27" l="1"/>
  <c r="T113" i="5" l="1"/>
  <c r="T96" i="5"/>
  <c r="W151" i="27"/>
  <c r="S27" i="29"/>
  <c r="S5" i="29"/>
  <c r="S41" i="29"/>
  <c r="S35" i="29"/>
  <c r="T103" i="5" s="1"/>
  <c r="T99" i="5" s="1"/>
  <c r="Q150" i="27"/>
  <c r="L36" i="29"/>
  <c r="L34" i="29"/>
  <c r="O196" i="27"/>
  <c r="L196" i="27" s="1"/>
  <c r="L193" i="27"/>
  <c r="W221" i="27"/>
  <c r="Q231" i="27"/>
  <c r="W231" i="27" s="1"/>
  <c r="Q230" i="27"/>
  <c r="W230" i="27" s="1"/>
  <c r="Q226" i="27"/>
  <c r="W226" i="27" s="1"/>
  <c r="Q228" i="27"/>
  <c r="W228" i="27" s="1"/>
  <c r="Q229" i="27"/>
  <c r="W229" i="27" s="1"/>
  <c r="Q227" i="27"/>
  <c r="W227" i="27" s="1"/>
  <c r="Q225" i="27"/>
  <c r="W225" i="27" s="1"/>
  <c r="Q224" i="27"/>
  <c r="W224" i="27" s="1"/>
  <c r="Q223" i="27"/>
  <c r="W223" i="27" s="1"/>
  <c r="Q220" i="27"/>
  <c r="W220" i="27" s="1"/>
  <c r="Q216" i="27"/>
  <c r="Q217" i="27"/>
  <c r="Q218" i="27"/>
  <c r="W218" i="27" s="1"/>
  <c r="W33" i="27" l="1"/>
  <c r="Q21" i="27"/>
  <c r="W13" i="27"/>
  <c r="Q32" i="27"/>
  <c r="W28" i="27"/>
  <c r="Q29" i="27"/>
  <c r="W29" i="27" s="1"/>
  <c r="W23" i="27"/>
  <c r="Q117" i="27"/>
  <c r="Q115" i="27"/>
  <c r="Q116" i="27"/>
  <c r="Q112" i="27"/>
  <c r="Q106" i="27"/>
  <c r="Q111" i="27"/>
  <c r="Q113" i="27"/>
  <c r="Q108" i="27"/>
  <c r="Q110" i="27"/>
  <c r="Q107" i="27"/>
  <c r="Q109" i="27"/>
  <c r="Q288" i="27"/>
  <c r="Q287" i="27"/>
  <c r="Q293" i="27"/>
  <c r="Q482" i="27" l="1"/>
  <c r="W482" i="27" s="1"/>
  <c r="Q713" i="27"/>
  <c r="W713" i="27" s="1"/>
  <c r="Q708" i="27"/>
  <c r="Q707" i="27"/>
  <c r="W707" i="27" s="1"/>
  <c r="Q602" i="27"/>
  <c r="W602" i="27" s="1"/>
  <c r="Q581" i="27"/>
  <c r="Q575" i="27"/>
  <c r="Q574" i="27"/>
  <c r="Q554" i="27"/>
  <c r="Q553" i="27"/>
  <c r="Q550" i="27"/>
  <c r="Q539" i="27"/>
  <c r="BP179" i="14" l="1"/>
  <c r="BO180" i="14"/>
  <c r="O55" i="5"/>
  <c r="Q479" i="27"/>
  <c r="BO179" i="14" l="1"/>
  <c r="Q376" i="27"/>
  <c r="W376" i="27" s="1"/>
  <c r="Q375" i="27"/>
  <c r="W375" i="27" s="1"/>
  <c r="W374" i="27"/>
  <c r="Q373" i="27"/>
  <c r="W373" i="27"/>
  <c r="Q372" i="27"/>
  <c r="W372" i="27" s="1"/>
  <c r="Q371" i="27"/>
  <c r="W371" i="27" s="1"/>
  <c r="Q370" i="27"/>
  <c r="W370" i="27" s="1"/>
  <c r="Q369" i="27"/>
  <c r="W369" i="27" s="1"/>
  <c r="Q367" i="27"/>
  <c r="W367" i="27" s="1"/>
  <c r="Q364" i="27"/>
  <c r="W364" i="27" s="1"/>
  <c r="Q360" i="27"/>
  <c r="W360" i="27" s="1"/>
  <c r="Q353" i="27"/>
  <c r="W353" i="27" s="1"/>
  <c r="Q352" i="27"/>
  <c r="W352" i="27" s="1"/>
  <c r="Q349" i="27"/>
  <c r="Q348" i="27"/>
  <c r="Q347" i="27"/>
  <c r="Q341" i="27"/>
  <c r="Q339" i="27"/>
  <c r="Q336" i="27"/>
  <c r="Q335" i="27"/>
  <c r="Q332" i="27" l="1"/>
  <c r="W332" i="27" s="1"/>
  <c r="W331" i="27"/>
  <c r="Q325" i="27"/>
  <c r="Q324" i="27"/>
  <c r="Q321" i="27"/>
  <c r="Q315" i="27"/>
  <c r="Q314" i="27"/>
  <c r="Q312" i="27"/>
  <c r="Q311" i="27"/>
  <c r="Q306" i="27"/>
  <c r="Q305" i="27"/>
  <c r="Q304" i="27"/>
  <c r="Q298" i="27"/>
  <c r="Q297" i="27"/>
  <c r="Q295" i="27"/>
  <c r="Q292" i="27"/>
  <c r="W292" i="27" s="1"/>
  <c r="Q291" i="27"/>
  <c r="W291" i="27" s="1"/>
  <c r="Q290" i="27"/>
  <c r="Q289" i="27"/>
  <c r="W604" i="27"/>
  <c r="W679" i="27"/>
  <c r="W281" i="27" l="1"/>
  <c r="BN179" i="14" l="1"/>
  <c r="Q149" i="27" l="1"/>
  <c r="Q148" i="27"/>
  <c r="Q147" i="27"/>
  <c r="W146" i="27"/>
  <c r="Q729" i="27" l="1"/>
  <c r="Q587" i="27"/>
  <c r="Q738" i="27" l="1"/>
  <c r="W738" i="27" s="1"/>
  <c r="Q737" i="27"/>
  <c r="W737" i="27" s="1"/>
  <c r="Q717" i="27" l="1"/>
  <c r="W717" i="27"/>
  <c r="Q576" i="27"/>
  <c r="Q184" i="27" l="1"/>
  <c r="Q172" i="27"/>
  <c r="BM179" i="14" l="1"/>
  <c r="Q173" i="27"/>
  <c r="W497" i="27" l="1"/>
  <c r="W496" i="27"/>
  <c r="W495" i="27"/>
  <c r="W494" i="27"/>
  <c r="Q493" i="27"/>
  <c r="W493" i="27" s="1"/>
  <c r="Q492" i="27"/>
  <c r="W492" i="27" s="1"/>
  <c r="Q721" i="27"/>
  <c r="W721" i="27" s="1"/>
  <c r="Q545" i="27"/>
  <c r="W742" i="27"/>
  <c r="Q741" i="27"/>
  <c r="W741" i="27" s="1"/>
  <c r="Q694" i="27"/>
  <c r="Q647" i="27"/>
  <c r="W647" i="27" s="1"/>
  <c r="Q620" i="27"/>
  <c r="Q723" i="27" l="1"/>
  <c r="W723" i="27" s="1"/>
  <c r="Q722" i="27"/>
  <c r="W722" i="27" s="1"/>
  <c r="Q714" i="27"/>
  <c r="W714" i="27" s="1"/>
  <c r="Q706" i="27"/>
  <c r="Q705" i="27"/>
  <c r="W705" i="27"/>
  <c r="Q689" i="27"/>
  <c r="Q610" i="27"/>
  <c r="Q552" i="27"/>
  <c r="Q546" i="27"/>
  <c r="W695" i="27"/>
  <c r="Q678" i="27"/>
  <c r="W678" i="27" s="1"/>
  <c r="Q122" i="27"/>
  <c r="Q121" i="27"/>
  <c r="Q120" i="27"/>
  <c r="L533" i="27"/>
  <c r="Q177" i="27"/>
  <c r="L743" i="27" l="1"/>
  <c r="Q251" i="27"/>
  <c r="L560" i="27"/>
  <c r="Q175" i="27"/>
  <c r="AC45" i="25" l="1"/>
  <c r="AB45" i="25"/>
  <c r="AA45" i="25"/>
  <c r="Z45" i="25"/>
  <c r="Y45" i="25"/>
  <c r="X45" i="25"/>
  <c r="W45" i="25"/>
  <c r="V45" i="25"/>
  <c r="U45" i="25"/>
  <c r="T45" i="25"/>
  <c r="S45" i="25"/>
  <c r="R45" i="25"/>
  <c r="Q45" i="25"/>
  <c r="P45" i="25"/>
  <c r="O45" i="25"/>
  <c r="N45" i="25"/>
  <c r="M45" i="25"/>
  <c r="L45" i="25"/>
  <c r="K45" i="25"/>
  <c r="J45" i="25"/>
  <c r="I45" i="25"/>
  <c r="H45" i="25"/>
  <c r="G45" i="25"/>
  <c r="F45" i="25"/>
  <c r="E45" i="25"/>
  <c r="D45" i="25"/>
  <c r="C45" i="25"/>
  <c r="B45" i="25"/>
  <c r="Q89" i="5"/>
  <c r="P89" i="5"/>
  <c r="N89" i="5"/>
  <c r="O81" i="5" s="1"/>
  <c r="M89" i="5"/>
  <c r="K89" i="5"/>
  <c r="L81" i="5" s="1"/>
  <c r="J89" i="5"/>
  <c r="I89" i="5"/>
  <c r="H89" i="5"/>
  <c r="G89" i="5"/>
  <c r="F89" i="5"/>
  <c r="E89" i="5"/>
  <c r="D89" i="5"/>
  <c r="C89" i="5"/>
  <c r="B89" i="5"/>
  <c r="AK18" i="25"/>
  <c r="AK8" i="25"/>
  <c r="AK5" i="25"/>
  <c r="AV31" i="25"/>
  <c r="AV30" i="25"/>
  <c r="AV29" i="25"/>
  <c r="AV28" i="25"/>
  <c r="AV27" i="25"/>
  <c r="AV26" i="25"/>
  <c r="AV25" i="25"/>
  <c r="AV24" i="25"/>
  <c r="AV23" i="25"/>
  <c r="AV22" i="25"/>
  <c r="L63" i="5" l="1"/>
  <c r="O63" i="5"/>
  <c r="AK27" i="25"/>
  <c r="AD46" i="25"/>
  <c r="AD53" i="25"/>
  <c r="DE164" i="14"/>
  <c r="DD164" i="14"/>
  <c r="DC164" i="14"/>
  <c r="DB164" i="14"/>
  <c r="DA164" i="14"/>
  <c r="CZ164" i="14"/>
  <c r="CY164" i="14"/>
  <c r="CX164" i="14"/>
  <c r="CW164" i="14"/>
  <c r="CV164" i="14"/>
  <c r="CU164" i="14"/>
  <c r="CT164" i="14"/>
  <c r="CS164" i="14"/>
  <c r="CR164" i="14"/>
  <c r="CQ164" i="14"/>
  <c r="CP164" i="14"/>
  <c r="CO164" i="14"/>
  <c r="CN164" i="14"/>
  <c r="CM164" i="14"/>
  <c r="CL164" i="14"/>
  <c r="CK164" i="14"/>
  <c r="CJ164" i="14"/>
  <c r="CI164" i="14"/>
  <c r="CH164" i="14"/>
  <c r="CG164" i="14"/>
  <c r="CF164" i="14"/>
  <c r="CE164" i="14"/>
  <c r="CD164" i="14"/>
  <c r="CC164" i="14"/>
  <c r="CB164" i="14"/>
  <c r="CA164" i="14"/>
  <c r="BZ164" i="14"/>
  <c r="BY164" i="14"/>
  <c r="BX164" i="14"/>
  <c r="BW164" i="14"/>
  <c r="BV164" i="14"/>
  <c r="BU164" i="14"/>
  <c r="BT164" i="14"/>
  <c r="BS164" i="14"/>
  <c r="BR164" i="14"/>
  <c r="BQ164" i="14"/>
  <c r="BP164" i="14"/>
  <c r="BO164" i="14"/>
  <c r="BN164" i="14"/>
  <c r="BM164" i="14"/>
  <c r="BL164" i="14"/>
  <c r="BK164" i="14"/>
  <c r="BJ164" i="14"/>
  <c r="BI164" i="14"/>
  <c r="BH164" i="14"/>
  <c r="BG164" i="14"/>
  <c r="BF164" i="14"/>
  <c r="BE164" i="14"/>
  <c r="BD164" i="14"/>
  <c r="BC164" i="14"/>
  <c r="BB164" i="14"/>
  <c r="BA164" i="14"/>
  <c r="AZ164" i="14"/>
  <c r="AY164" i="14"/>
  <c r="AX164" i="14"/>
  <c r="AW164" i="14"/>
  <c r="AV164" i="14"/>
  <c r="AU164" i="14"/>
  <c r="AT164" i="14"/>
  <c r="AS164" i="14"/>
  <c r="AR164" i="14"/>
  <c r="AQ164" i="14"/>
  <c r="AP164" i="14"/>
  <c r="AO164" i="14"/>
  <c r="AN164" i="14"/>
  <c r="AM164" i="14"/>
  <c r="AL164" i="14"/>
  <c r="AK164" i="14"/>
  <c r="AJ164" i="14"/>
  <c r="AI164" i="14"/>
  <c r="AH164" i="14"/>
  <c r="AG164" i="14"/>
  <c r="AF164" i="14"/>
  <c r="AE164" i="14"/>
  <c r="AD164" i="14"/>
  <c r="AC164" i="14"/>
  <c r="AB164" i="14"/>
  <c r="AA164" i="14"/>
  <c r="Z164" i="14"/>
  <c r="Y164" i="14"/>
  <c r="X164" i="14"/>
  <c r="W164" i="14"/>
  <c r="V164" i="14"/>
  <c r="U164" i="14"/>
  <c r="T164" i="14"/>
  <c r="S164" i="14"/>
  <c r="R164" i="14"/>
  <c r="Q164" i="14"/>
  <c r="P164" i="14"/>
  <c r="O164" i="14"/>
  <c r="N164" i="14"/>
  <c r="DE158" i="14"/>
  <c r="DD158" i="14"/>
  <c r="DC158" i="14"/>
  <c r="DB158" i="14"/>
  <c r="DA158" i="14"/>
  <c r="CZ158" i="14"/>
  <c r="CY158" i="14"/>
  <c r="CX158" i="14"/>
  <c r="CW158" i="14"/>
  <c r="CV158" i="14"/>
  <c r="CU158" i="14"/>
  <c r="CT158" i="14"/>
  <c r="CS158" i="14"/>
  <c r="CR158" i="14"/>
  <c r="CQ158" i="14"/>
  <c r="CP158" i="14"/>
  <c r="CO158" i="14"/>
  <c r="CN158" i="14"/>
  <c r="CM158" i="14"/>
  <c r="CL158" i="14"/>
  <c r="CK158" i="14"/>
  <c r="CJ158" i="14"/>
  <c r="CI158" i="14"/>
  <c r="CH158" i="14"/>
  <c r="DE159" i="14"/>
  <c r="DD159" i="14"/>
  <c r="DC159" i="14"/>
  <c r="DB159" i="14"/>
  <c r="DA159" i="14"/>
  <c r="CZ159" i="14"/>
  <c r="CY159" i="14"/>
  <c r="CX159" i="14"/>
  <c r="CW159" i="14"/>
  <c r="CV159" i="14"/>
  <c r="CU159" i="14"/>
  <c r="CT159" i="14"/>
  <c r="CS159" i="14"/>
  <c r="CR159" i="14"/>
  <c r="CQ159" i="14"/>
  <c r="CP159" i="14"/>
  <c r="CO159" i="14"/>
  <c r="CN159" i="14"/>
  <c r="CM159" i="14"/>
  <c r="CL159" i="14"/>
  <c r="CK159" i="14"/>
  <c r="CJ159" i="14"/>
  <c r="CI159" i="14"/>
  <c r="CH159" i="14"/>
  <c r="CG159" i="14"/>
  <c r="CF159" i="14"/>
  <c r="CE159" i="14"/>
  <c r="CD159" i="14"/>
  <c r="CC159" i="14"/>
  <c r="CB159" i="14"/>
  <c r="CA159" i="14"/>
  <c r="BZ159" i="14"/>
  <c r="BY159" i="14"/>
  <c r="BX159" i="14"/>
  <c r="BW159" i="14"/>
  <c r="BV159" i="14"/>
  <c r="BU159" i="14"/>
  <c r="BT159" i="14"/>
  <c r="BS159" i="14"/>
  <c r="BR159" i="14"/>
  <c r="BQ159" i="14"/>
  <c r="BP159" i="14"/>
  <c r="BO159" i="14"/>
  <c r="BN159" i="14"/>
  <c r="BM159" i="14"/>
  <c r="BL159" i="14"/>
  <c r="BK159" i="14"/>
  <c r="BJ159" i="14"/>
  <c r="BI159" i="14"/>
  <c r="BH159" i="14"/>
  <c r="BG159" i="14"/>
  <c r="BF159" i="14"/>
  <c r="BE159" i="14"/>
  <c r="BD159" i="14"/>
  <c r="BC159" i="14"/>
  <c r="BB159" i="14"/>
  <c r="BA159" i="14"/>
  <c r="AZ159" i="14"/>
  <c r="AY159" i="14"/>
  <c r="AX159" i="14"/>
  <c r="AW159" i="14"/>
  <c r="AV159" i="14"/>
  <c r="AU159" i="14"/>
  <c r="AT159" i="14"/>
  <c r="AS159" i="14"/>
  <c r="AR159" i="14"/>
  <c r="AQ159" i="14"/>
  <c r="AP159" i="14"/>
  <c r="AO159" i="14"/>
  <c r="AN159" i="14"/>
  <c r="AM159" i="14"/>
  <c r="AL159" i="14"/>
  <c r="AK159" i="14"/>
  <c r="AJ159" i="14"/>
  <c r="AI159" i="14"/>
  <c r="AH159" i="14"/>
  <c r="AG159" i="14"/>
  <c r="AF159" i="14"/>
  <c r="AE159" i="14"/>
  <c r="AD159" i="14"/>
  <c r="AC159" i="14"/>
  <c r="AB159" i="14"/>
  <c r="AA159" i="14"/>
  <c r="Z159" i="14"/>
  <c r="Y159" i="14"/>
  <c r="X159" i="14"/>
  <c r="W159" i="14"/>
  <c r="V159" i="14"/>
  <c r="U159" i="14"/>
  <c r="T159" i="14"/>
  <c r="S159" i="14"/>
  <c r="R159" i="14"/>
  <c r="Q159" i="14"/>
  <c r="P159" i="14"/>
  <c r="O159" i="14"/>
  <c r="N159" i="14"/>
  <c r="DE124" i="14"/>
  <c r="DD124" i="14"/>
  <c r="DC124" i="14"/>
  <c r="DB124" i="14"/>
  <c r="DA124" i="14"/>
  <c r="CZ124" i="14"/>
  <c r="CY124" i="14"/>
  <c r="CX124" i="14"/>
  <c r="CW124" i="14"/>
  <c r="CV124" i="14"/>
  <c r="CU124" i="14"/>
  <c r="CT124" i="14"/>
  <c r="CS124" i="14"/>
  <c r="CR124" i="14"/>
  <c r="CQ124" i="14"/>
  <c r="CP124" i="14"/>
  <c r="CO124" i="14"/>
  <c r="CN124" i="14"/>
  <c r="CM124" i="14"/>
  <c r="CL124" i="14"/>
  <c r="CK124" i="14"/>
  <c r="CJ124" i="14"/>
  <c r="CI124" i="14"/>
  <c r="CH124" i="14"/>
  <c r="CG124" i="14"/>
  <c r="CF124" i="14"/>
  <c r="CE124" i="14"/>
  <c r="CD124" i="14"/>
  <c r="CC124" i="14"/>
  <c r="CB124" i="14"/>
  <c r="CA124" i="14"/>
  <c r="BZ124" i="14"/>
  <c r="BY124" i="14"/>
  <c r="BX124" i="14"/>
  <c r="BW124" i="14"/>
  <c r="BV124" i="14"/>
  <c r="BU124" i="14"/>
  <c r="BT124" i="14"/>
  <c r="BS124" i="14"/>
  <c r="BR124" i="14"/>
  <c r="BQ124" i="14"/>
  <c r="BP124" i="14"/>
  <c r="BO124" i="14"/>
  <c r="BN124" i="14"/>
  <c r="BM124" i="14"/>
  <c r="BL124" i="14"/>
  <c r="BK124" i="14"/>
  <c r="BJ124" i="14"/>
  <c r="BI124" i="14"/>
  <c r="BH124" i="14"/>
  <c r="BG124" i="14"/>
  <c r="BF124" i="14"/>
  <c r="BE124" i="14"/>
  <c r="BD124" i="14"/>
  <c r="BC124" i="14"/>
  <c r="BB124" i="14"/>
  <c r="BA124" i="14"/>
  <c r="AZ124" i="14"/>
  <c r="AY124" i="14"/>
  <c r="AX124" i="14"/>
  <c r="AW124" i="14"/>
  <c r="AV124" i="14"/>
  <c r="AU124" i="14"/>
  <c r="AT124" i="14"/>
  <c r="AS124" i="14"/>
  <c r="AR124" i="14"/>
  <c r="AQ124" i="14"/>
  <c r="AP124" i="14"/>
  <c r="AO124" i="14"/>
  <c r="AN124" i="14"/>
  <c r="AM124" i="14"/>
  <c r="AL124" i="14"/>
  <c r="AK124" i="14"/>
  <c r="AJ124" i="14"/>
  <c r="AI124" i="14"/>
  <c r="AH124" i="14"/>
  <c r="AG124" i="14"/>
  <c r="AF124" i="14"/>
  <c r="AE124" i="14"/>
  <c r="AD124" i="14"/>
  <c r="AC124" i="14"/>
  <c r="AB124" i="14"/>
  <c r="AA124" i="14"/>
  <c r="Z124" i="14"/>
  <c r="Y124" i="14"/>
  <c r="X124" i="14"/>
  <c r="W124" i="14"/>
  <c r="V124" i="14"/>
  <c r="U124" i="14"/>
  <c r="T124" i="14"/>
  <c r="S124" i="14"/>
  <c r="R124" i="14"/>
  <c r="Q124" i="14"/>
  <c r="P124" i="14"/>
  <c r="O124" i="14"/>
  <c r="N124" i="14"/>
  <c r="DE119" i="14"/>
  <c r="DD119" i="14"/>
  <c r="DC119" i="14"/>
  <c r="DB119" i="14"/>
  <c r="DA119" i="14"/>
  <c r="CZ119" i="14"/>
  <c r="CY119" i="14"/>
  <c r="CX119" i="14"/>
  <c r="CW119" i="14"/>
  <c r="CV119" i="14"/>
  <c r="CU119" i="14"/>
  <c r="CT119" i="14"/>
  <c r="CS119" i="14"/>
  <c r="CR119" i="14"/>
  <c r="CQ119" i="14"/>
  <c r="CP119" i="14"/>
  <c r="CO119" i="14"/>
  <c r="CN119" i="14"/>
  <c r="CM119" i="14"/>
  <c r="CL119" i="14"/>
  <c r="CK119" i="14"/>
  <c r="CJ119" i="14"/>
  <c r="CI119" i="14"/>
  <c r="CH119" i="14"/>
  <c r="CG119" i="14"/>
  <c r="CF119" i="14"/>
  <c r="CE119" i="14"/>
  <c r="CD119" i="14"/>
  <c r="CC119" i="14"/>
  <c r="CB119" i="14"/>
  <c r="CA119" i="14"/>
  <c r="BZ119" i="14"/>
  <c r="BY119" i="14"/>
  <c r="BX119" i="14"/>
  <c r="BW119" i="14"/>
  <c r="BV119" i="14"/>
  <c r="BU119" i="14"/>
  <c r="BT119" i="14"/>
  <c r="BS119" i="14"/>
  <c r="BR119" i="14"/>
  <c r="BQ119" i="14"/>
  <c r="BP119" i="14"/>
  <c r="BO119" i="14"/>
  <c r="BN119" i="14"/>
  <c r="BM119" i="14"/>
  <c r="BL119" i="14"/>
  <c r="BK119" i="14"/>
  <c r="BJ119" i="14"/>
  <c r="BI119" i="14"/>
  <c r="BH119" i="14"/>
  <c r="BG119" i="14"/>
  <c r="BF119" i="14"/>
  <c r="BE119" i="14"/>
  <c r="BD119" i="14"/>
  <c r="BC119" i="14"/>
  <c r="BB119" i="14"/>
  <c r="BA119" i="14"/>
  <c r="AZ119" i="14"/>
  <c r="AY119" i="14"/>
  <c r="AX119" i="14"/>
  <c r="AW119" i="14"/>
  <c r="AV119" i="14"/>
  <c r="AU119" i="14"/>
  <c r="AT119" i="14"/>
  <c r="AS119" i="14"/>
  <c r="AR119" i="14"/>
  <c r="AQ119" i="14"/>
  <c r="AP119" i="14"/>
  <c r="AO119" i="14"/>
  <c r="AN119" i="14"/>
  <c r="AM119" i="14"/>
  <c r="AL119" i="14"/>
  <c r="AK119" i="14"/>
  <c r="AJ119" i="14"/>
  <c r="AI119" i="14"/>
  <c r="AH119" i="14"/>
  <c r="AG119" i="14"/>
  <c r="AF119" i="14"/>
  <c r="AE119" i="14"/>
  <c r="AD119" i="14"/>
  <c r="AC119" i="14"/>
  <c r="AB119" i="14"/>
  <c r="AA119" i="14"/>
  <c r="Z119" i="14"/>
  <c r="Y119" i="14"/>
  <c r="X119" i="14"/>
  <c r="W119" i="14"/>
  <c r="V119" i="14"/>
  <c r="U119" i="14"/>
  <c r="T119" i="14"/>
  <c r="S119" i="14"/>
  <c r="R119" i="14"/>
  <c r="Q119" i="14"/>
  <c r="P119" i="14"/>
  <c r="O119" i="14"/>
  <c r="N119" i="14"/>
  <c r="V18" i="25"/>
  <c r="V8" i="25"/>
  <c r="V5" i="25"/>
  <c r="V27" i="25" l="1"/>
  <c r="FH92" i="14"/>
  <c r="FG92" i="14"/>
  <c r="FF92" i="14"/>
  <c r="FE92" i="14"/>
  <c r="FD92" i="14"/>
  <c r="FC92" i="14"/>
  <c r="FB92" i="14"/>
  <c r="FA92" i="14"/>
  <c r="EZ92" i="14"/>
  <c r="EY92" i="14"/>
  <c r="EX92" i="14"/>
  <c r="EW92" i="14"/>
  <c r="EV92" i="14"/>
  <c r="EU92" i="14"/>
  <c r="ET92" i="14"/>
  <c r="ES92" i="14"/>
  <c r="ER92" i="14"/>
  <c r="EQ92" i="14"/>
  <c r="EP92" i="14"/>
  <c r="EO92" i="14"/>
  <c r="EN92" i="14"/>
  <c r="EM92" i="14"/>
  <c r="EL92" i="14"/>
  <c r="EK92" i="14"/>
  <c r="EJ92" i="14"/>
  <c r="EI92" i="14"/>
  <c r="EH92" i="14"/>
  <c r="EG92" i="14"/>
  <c r="EF92" i="14"/>
  <c r="FR92" i="14" s="1"/>
  <c r="FH110" i="14"/>
  <c r="FG110" i="14"/>
  <c r="FF110" i="14"/>
  <c r="FE110" i="14"/>
  <c r="FD110" i="14"/>
  <c r="FC110" i="14"/>
  <c r="FB110" i="14"/>
  <c r="FA110" i="14"/>
  <c r="EZ110" i="14"/>
  <c r="EY110" i="14"/>
  <c r="EX110" i="14"/>
  <c r="EW110" i="14"/>
  <c r="EV110" i="14"/>
  <c r="EU110" i="14"/>
  <c r="ET110" i="14"/>
  <c r="ES110" i="14"/>
  <c r="ER110" i="14"/>
  <c r="EQ110" i="14"/>
  <c r="EP110" i="14"/>
  <c r="EO110" i="14"/>
  <c r="EN110" i="14"/>
  <c r="EM110" i="14"/>
  <c r="EL110" i="14"/>
  <c r="EK110" i="14"/>
  <c r="EJ110" i="14"/>
  <c r="EI110" i="14"/>
  <c r="EH110" i="14"/>
  <c r="EG110" i="14"/>
  <c r="EF110" i="14"/>
  <c r="FR110" i="14" s="1"/>
  <c r="AL18" i="25"/>
  <c r="AL8" i="25"/>
  <c r="AL5" i="25"/>
  <c r="V35" i="25"/>
  <c r="V32" i="25"/>
  <c r="D35" i="25"/>
  <c r="D32" i="25"/>
  <c r="D18" i="25"/>
  <c r="D8" i="25"/>
  <c r="D5" i="25"/>
  <c r="AB40" i="5"/>
  <c r="Z40" i="5"/>
  <c r="X40" i="5"/>
  <c r="T47" i="5"/>
  <c r="AD40" i="5" s="1"/>
  <c r="S47" i="5"/>
  <c r="FY110" i="14" l="1"/>
  <c r="FY92" i="14"/>
  <c r="V54" i="25"/>
  <c r="D54" i="25"/>
  <c r="D27" i="25"/>
  <c r="FX110" i="14"/>
  <c r="FW110" i="14"/>
  <c r="FV110" i="14"/>
  <c r="FU110" i="14"/>
  <c r="FT110" i="14"/>
  <c r="FS110" i="14"/>
  <c r="FS92" i="14"/>
  <c r="FT92" i="14"/>
  <c r="FU92" i="14"/>
  <c r="FV92" i="14"/>
  <c r="FW92" i="14"/>
  <c r="FX92" i="14"/>
  <c r="AL27" i="25"/>
  <c r="AB39" i="5"/>
  <c r="Z39" i="5"/>
  <c r="X39" i="5"/>
  <c r="T29" i="5"/>
  <c r="AD39" i="5" s="1"/>
  <c r="S29" i="5"/>
  <c r="BL179" i="14" l="1"/>
  <c r="Q174" i="27" l="1"/>
  <c r="Q469" i="27"/>
  <c r="L503" i="27" l="1"/>
  <c r="Q736" i="27"/>
  <c r="W736" i="27" s="1"/>
  <c r="Q733" i="27"/>
  <c r="W733" i="27" s="1"/>
  <c r="Q730" i="27"/>
  <c r="W730" i="27" s="1"/>
  <c r="W729" i="27"/>
  <c r="Q726" i="27" l="1"/>
  <c r="W726" i="27" s="1"/>
  <c r="W725" i="27"/>
  <c r="Q724" i="27"/>
  <c r="W724" i="27" s="1"/>
  <c r="Q719" i="27"/>
  <c r="W719" i="27" s="1"/>
  <c r="Q716" i="27"/>
  <c r="W716" i="27" s="1"/>
  <c r="Q715" i="27"/>
  <c r="W715" i="27" s="1"/>
  <c r="Q657" i="27"/>
  <c r="Q637" i="27"/>
  <c r="W637" i="27" s="1"/>
  <c r="W139" i="27"/>
  <c r="Q254" i="27"/>
  <c r="W254" i="27" s="1"/>
  <c r="Q567" i="27"/>
  <c r="Q250" i="27"/>
  <c r="W250" i="27" s="1"/>
  <c r="Q249" i="27"/>
  <c r="W560" i="27"/>
  <c r="Q248" i="27"/>
  <c r="Q547" i="27"/>
  <c r="Q138" i="27"/>
  <c r="W138" i="27" s="1"/>
  <c r="Q137" i="27"/>
  <c r="Q136" i="27"/>
  <c r="W136" i="27" s="1"/>
  <c r="Q134" i="27"/>
  <c r="W134" i="27" s="1"/>
  <c r="Q132" i="27"/>
  <c r="W132" i="27" s="1"/>
  <c r="L131" i="27"/>
  <c r="Q131" i="27"/>
  <c r="Q130" i="27"/>
  <c r="Q129" i="27"/>
  <c r="Q128" i="27"/>
  <c r="Q127" i="27"/>
  <c r="W127" i="27" s="1"/>
  <c r="Q126" i="27"/>
  <c r="Q125" i="27"/>
  <c r="L124" i="27"/>
  <c r="Q124" i="27"/>
  <c r="L123" i="27"/>
  <c r="Q123" i="27"/>
  <c r="Q468" i="27" l="1"/>
  <c r="BK179" i="14" l="1"/>
  <c r="Q368" i="27"/>
  <c r="W368" i="27" s="1"/>
  <c r="Q362" i="27"/>
  <c r="W362" i="27" s="1"/>
  <c r="Q361" i="27"/>
  <c r="W361" i="27" s="1"/>
  <c r="Q358" i="27"/>
  <c r="W358" i="27" s="1"/>
  <c r="Q355" i="27"/>
  <c r="Q350" i="27"/>
  <c r="W350" i="27" s="1"/>
  <c r="W341" i="27"/>
  <c r="Q329" i="27"/>
  <c r="W329" i="27" s="1"/>
  <c r="Q328" i="27"/>
  <c r="W328" i="27" s="1"/>
  <c r="Q327" i="27"/>
  <c r="Q323" i="27"/>
  <c r="W323" i="27" s="1"/>
  <c r="W355" i="27" l="1"/>
  <c r="Q322" i="27"/>
  <c r="W322" i="27" s="1"/>
  <c r="Q317" i="27"/>
  <c r="W317" i="27" s="1"/>
  <c r="Q313" i="27"/>
  <c r="Q309" i="27"/>
  <c r="Q303" i="27"/>
  <c r="Q286" i="27"/>
  <c r="O185" i="27" l="1"/>
  <c r="Q181" i="27"/>
  <c r="Q735" i="27"/>
  <c r="W735" i="27" s="1"/>
  <c r="Q734" i="27"/>
  <c r="W734" i="27" s="1"/>
  <c r="Q728" i="27"/>
  <c r="W728" i="27" s="1"/>
  <c r="Q727" i="27"/>
  <c r="W727" i="27" s="1"/>
  <c r="Q599" i="27"/>
  <c r="Q585" i="27" l="1"/>
  <c r="Q582" i="27"/>
  <c r="Q551" i="27"/>
  <c r="Q541" i="27"/>
  <c r="Q540" i="27"/>
  <c r="L538" i="27"/>
  <c r="Q538" i="27"/>
  <c r="W538" i="27" s="1"/>
  <c r="W706" i="27"/>
  <c r="BJ179" i="14"/>
  <c r="X5" i="5" l="1"/>
  <c r="BO178" i="14"/>
  <c r="BM178" i="14"/>
  <c r="BU178" i="14"/>
  <c r="BT178" i="14"/>
  <c r="BS178" i="14"/>
  <c r="BR178" i="14"/>
  <c r="BR181" i="14" s="1"/>
  <c r="BQ178" i="14"/>
  <c r="BP178" i="14"/>
  <c r="BN178" i="14"/>
  <c r="BL178" i="14"/>
  <c r="BK178" i="14"/>
  <c r="BJ178" i="14"/>
  <c r="L532" i="27"/>
  <c r="L531" i="27"/>
  <c r="L530" i="27"/>
  <c r="AJ529" i="27"/>
  <c r="AK529" i="27" s="1"/>
  <c r="BM181" i="14" l="1"/>
  <c r="BN181" i="14"/>
  <c r="BS181" i="14"/>
  <c r="BK181" i="14"/>
  <c r="BQ181" i="14"/>
  <c r="BV181" i="14"/>
  <c r="BU181" i="14"/>
  <c r="BO181" i="14"/>
  <c r="BP181" i="14"/>
  <c r="BT181" i="14"/>
  <c r="BL181" i="14"/>
  <c r="W677" i="27"/>
  <c r="Q669" i="27"/>
  <c r="W669" i="27" s="1"/>
  <c r="Q668" i="27"/>
  <c r="W668" i="27" s="1"/>
  <c r="Q662" i="27"/>
  <c r="W662" i="27" s="1"/>
  <c r="Q654" i="27"/>
  <c r="W654" i="27" s="1"/>
  <c r="L654" i="27"/>
  <c r="Q644" i="27"/>
  <c r="Q643" i="27"/>
  <c r="Q639" i="27"/>
  <c r="Q638" i="27"/>
  <c r="Q635" i="27"/>
  <c r="Q634" i="27"/>
  <c r="Q633" i="27"/>
  <c r="Q623" i="27"/>
  <c r="Q621" i="27"/>
  <c r="Q615" i="27"/>
  <c r="Q709" i="27"/>
  <c r="W712" i="27"/>
  <c r="W711" i="27"/>
  <c r="W710" i="27"/>
  <c r="W709" i="27"/>
  <c r="Q702" i="27"/>
  <c r="W702" i="27" s="1"/>
  <c r="Q698" i="27"/>
  <c r="W698" i="27" s="1"/>
  <c r="W701" i="27"/>
  <c r="W700" i="27"/>
  <c r="W699" i="27"/>
  <c r="W697" i="27"/>
  <c r="Q696" i="27"/>
  <c r="W696" i="27" s="1"/>
  <c r="W694" i="27"/>
  <c r="W693" i="27"/>
  <c r="Q690" i="27"/>
  <c r="W690" i="27" s="1"/>
  <c r="Q687" i="27"/>
  <c r="W687" i="27" s="1"/>
  <c r="Q686" i="27"/>
  <c r="W686" i="27" s="1"/>
  <c r="Q683" i="27"/>
  <c r="W683" i="27" s="1"/>
  <c r="Q682" i="27"/>
  <c r="W682" i="27" s="1"/>
  <c r="Q681" i="27"/>
  <c r="W681" i="27" s="1"/>
  <c r="Q680" i="27"/>
  <c r="W680" i="27" s="1"/>
  <c r="Q676" i="27"/>
  <c r="W676" i="27" s="1"/>
  <c r="Q675" i="27"/>
  <c r="W675" i="27" s="1"/>
  <c r="Q674" i="27"/>
  <c r="W674" i="27" s="1"/>
  <c r="Q663" i="27"/>
  <c r="W663" i="27" s="1"/>
  <c r="W661" i="27"/>
  <c r="W659" i="27"/>
  <c r="W658" i="27"/>
  <c r="Q619" i="27"/>
  <c r="Q586" i="27"/>
  <c r="Q564" i="27"/>
  <c r="AJ233" i="27"/>
  <c r="L233" i="27" l="1"/>
  <c r="AK233" i="27" s="1"/>
  <c r="L231" i="27"/>
  <c r="AI231" i="27"/>
  <c r="L229" i="27"/>
  <c r="AH229" i="27"/>
  <c r="AI229" i="27" s="1"/>
  <c r="AH226" i="27"/>
  <c r="AI226" i="27" s="1"/>
  <c r="L226" i="27"/>
  <c r="AH227" i="27"/>
  <c r="AI227" i="27" s="1"/>
  <c r="L227" i="27"/>
  <c r="L228" i="27"/>
  <c r="AJ228" i="27"/>
  <c r="AH228" i="27"/>
  <c r="AI228" i="27" s="1"/>
  <c r="AH230" i="27"/>
  <c r="AI230" i="27" s="1"/>
  <c r="L230" i="27"/>
  <c r="L234" i="27"/>
  <c r="AH234" i="27"/>
  <c r="AI234" i="27" s="1"/>
  <c r="AH232" i="27"/>
  <c r="AI232" i="27" s="1"/>
  <c r="AI223" i="27"/>
  <c r="L223" i="27"/>
  <c r="AH224" i="27"/>
  <c r="AI224" i="27" s="1"/>
  <c r="L224" i="27"/>
  <c r="L225" i="27"/>
  <c r="AH225" i="27"/>
  <c r="AI225" i="27" s="1"/>
  <c r="W688" i="27"/>
  <c r="FH117" i="14"/>
  <c r="FG117" i="14"/>
  <c r="FF117" i="14"/>
  <c r="FE117" i="14"/>
  <c r="FH116" i="14"/>
  <c r="FG116" i="14"/>
  <c r="FF116" i="14"/>
  <c r="FE116" i="14"/>
  <c r="FH115" i="14"/>
  <c r="FG115" i="14"/>
  <c r="FF115" i="14"/>
  <c r="FE115" i="14"/>
  <c r="FH114" i="14"/>
  <c r="FG114" i="14"/>
  <c r="FF114" i="14"/>
  <c r="FE114" i="14"/>
  <c r="FH113" i="14"/>
  <c r="FG113" i="14"/>
  <c r="FF113" i="14"/>
  <c r="FE113" i="14"/>
  <c r="FH112" i="14"/>
  <c r="FG112" i="14"/>
  <c r="FF112" i="14"/>
  <c r="FE112" i="14"/>
  <c r="FH111" i="14"/>
  <c r="FG111" i="14"/>
  <c r="FF111" i="14"/>
  <c r="FE111" i="14"/>
  <c r="FH108" i="14"/>
  <c r="FG108" i="14"/>
  <c r="FF108" i="14"/>
  <c r="FE108" i="14"/>
  <c r="FH107" i="14"/>
  <c r="FG107" i="14"/>
  <c r="FF107" i="14"/>
  <c r="FE107" i="14"/>
  <c r="FH106" i="14"/>
  <c r="FG106" i="14"/>
  <c r="FF106" i="14"/>
  <c r="FE106" i="14"/>
  <c r="FH105" i="14"/>
  <c r="FG105" i="14"/>
  <c r="FF105" i="14"/>
  <c r="FE105" i="14"/>
  <c r="FH104" i="14"/>
  <c r="FG104" i="14"/>
  <c r="FF104" i="14"/>
  <c r="FE104" i="14"/>
  <c r="FH103" i="14"/>
  <c r="FG103" i="14"/>
  <c r="FF103" i="14"/>
  <c r="FE103" i="14"/>
  <c r="FH102" i="14"/>
  <c r="FG102" i="14"/>
  <c r="FF102" i="14"/>
  <c r="FE102" i="14"/>
  <c r="FH101" i="14"/>
  <c r="FG101" i="14"/>
  <c r="FF101" i="14"/>
  <c r="FE101" i="14"/>
  <c r="FH100" i="14"/>
  <c r="FG100" i="14"/>
  <c r="FF100" i="14"/>
  <c r="FE100" i="14"/>
  <c r="FH99" i="14"/>
  <c r="FG99" i="14"/>
  <c r="FF99" i="14"/>
  <c r="FE99" i="14"/>
  <c r="FH98" i="14"/>
  <c r="FG98" i="14"/>
  <c r="FF98" i="14"/>
  <c r="FE98" i="14"/>
  <c r="FH97" i="14"/>
  <c r="FG97" i="14"/>
  <c r="FF97" i="14"/>
  <c r="FE97" i="14"/>
  <c r="FH96" i="14"/>
  <c r="FG96" i="14"/>
  <c r="FF96" i="14"/>
  <c r="FE96" i="14"/>
  <c r="FH95" i="14"/>
  <c r="FG95" i="14"/>
  <c r="FF95" i="14"/>
  <c r="FE95" i="14"/>
  <c r="FH94" i="14"/>
  <c r="FG94" i="14"/>
  <c r="FF94" i="14"/>
  <c r="FE94" i="14"/>
  <c r="FH93" i="14"/>
  <c r="FG93" i="14"/>
  <c r="FF93" i="14"/>
  <c r="FE93" i="14"/>
  <c r="FH109" i="14"/>
  <c r="FG109" i="14"/>
  <c r="FF109" i="14"/>
  <c r="FE109" i="14"/>
  <c r="FH91" i="14"/>
  <c r="FG91" i="14"/>
  <c r="FF91" i="14"/>
  <c r="FE91" i="14"/>
  <c r="FH90" i="14"/>
  <c r="FG90" i="14"/>
  <c r="FF90" i="14"/>
  <c r="FE90" i="14"/>
  <c r="FH49" i="14"/>
  <c r="FG49" i="14"/>
  <c r="FF49" i="14"/>
  <c r="FE49" i="14"/>
  <c r="FH48" i="14"/>
  <c r="FG48" i="14"/>
  <c r="FF48" i="14"/>
  <c r="FE48" i="14"/>
  <c r="FH47" i="14"/>
  <c r="FG47" i="14"/>
  <c r="FF47" i="14"/>
  <c r="FE47" i="14"/>
  <c r="FH46" i="14"/>
  <c r="FG46" i="14"/>
  <c r="FF46" i="14"/>
  <c r="FE46" i="14"/>
  <c r="FH45" i="14"/>
  <c r="FG45" i="14"/>
  <c r="FF45" i="14"/>
  <c r="FE45" i="14"/>
  <c r="FH44" i="14"/>
  <c r="FG44" i="14"/>
  <c r="FF44" i="14"/>
  <c r="FE44" i="14"/>
  <c r="FH43" i="14"/>
  <c r="FG43" i="14"/>
  <c r="FF43" i="14"/>
  <c r="FE43" i="14"/>
  <c r="FH42" i="14"/>
  <c r="FG42" i="14"/>
  <c r="FF42" i="14"/>
  <c r="FE42" i="14"/>
  <c r="FH40" i="14"/>
  <c r="FG40" i="14"/>
  <c r="FF40" i="14"/>
  <c r="FE40" i="14"/>
  <c r="FH39" i="14"/>
  <c r="FG39" i="14"/>
  <c r="FF39" i="14"/>
  <c r="FE39" i="14"/>
  <c r="FH38" i="14"/>
  <c r="FG38" i="14"/>
  <c r="FF38" i="14"/>
  <c r="FE38" i="14"/>
  <c r="FH37" i="14"/>
  <c r="FG37" i="14"/>
  <c r="FF37" i="14"/>
  <c r="FE37" i="14"/>
  <c r="FH36" i="14"/>
  <c r="FG36" i="14"/>
  <c r="FF36" i="14"/>
  <c r="FE36" i="14"/>
  <c r="FH35" i="14"/>
  <c r="FG35" i="14"/>
  <c r="FF35" i="14"/>
  <c r="FE35" i="14"/>
  <c r="FH34" i="14"/>
  <c r="FG34" i="14"/>
  <c r="FF34" i="14"/>
  <c r="FE34" i="14"/>
  <c r="FH33" i="14"/>
  <c r="FG33" i="14"/>
  <c r="FF33" i="14"/>
  <c r="FE33" i="14"/>
  <c r="FH32" i="14"/>
  <c r="FG32" i="14"/>
  <c r="FF32" i="14"/>
  <c r="FE32" i="14"/>
  <c r="FH30" i="14"/>
  <c r="FG30" i="14"/>
  <c r="FF30" i="14"/>
  <c r="FE30" i="14"/>
  <c r="FH29" i="14"/>
  <c r="FG29" i="14"/>
  <c r="FF29" i="14"/>
  <c r="FE29" i="14"/>
  <c r="Q684" i="27"/>
  <c r="FY116" i="14" l="1"/>
  <c r="FY112" i="14"/>
  <c r="FY117" i="14"/>
  <c r="FY115" i="14"/>
  <c r="FY114" i="14"/>
  <c r="FY113" i="14"/>
  <c r="FY111" i="14"/>
  <c r="FY109" i="14"/>
  <c r="FY108" i="14"/>
  <c r="FY107" i="14"/>
  <c r="FY106" i="14"/>
  <c r="FY105" i="14"/>
  <c r="FY104" i="14"/>
  <c r="FY103" i="14"/>
  <c r="FY102" i="14"/>
  <c r="FY101" i="14"/>
  <c r="FY100" i="14"/>
  <c r="FY99" i="14"/>
  <c r="FY98" i="14"/>
  <c r="FY97" i="14"/>
  <c r="FY96" i="14"/>
  <c r="FY95" i="14"/>
  <c r="FY94" i="14"/>
  <c r="FY93" i="14"/>
  <c r="FY91" i="14"/>
  <c r="FY90" i="14"/>
  <c r="FY49" i="14"/>
  <c r="FY48" i="14"/>
  <c r="FY47" i="14"/>
  <c r="FY46" i="14"/>
  <c r="FY45" i="14"/>
  <c r="FY44" i="14"/>
  <c r="FY43" i="14"/>
  <c r="FY42" i="14"/>
  <c r="FY40" i="14"/>
  <c r="FY39" i="14"/>
  <c r="FY38" i="14"/>
  <c r="FY37" i="14"/>
  <c r="FY36" i="14"/>
  <c r="FY35" i="14"/>
  <c r="FY34" i="14"/>
  <c r="FY33" i="14"/>
  <c r="FY32" i="14"/>
  <c r="FY30" i="14"/>
  <c r="FY29" i="14"/>
  <c r="AL228" i="27"/>
  <c r="AK228" i="27"/>
  <c r="DE163" i="14"/>
  <c r="DD163" i="14"/>
  <c r="DC163" i="14"/>
  <c r="DB163" i="14"/>
  <c r="DA163" i="14"/>
  <c r="CZ163" i="14"/>
  <c r="CY163" i="14"/>
  <c r="CX163" i="14"/>
  <c r="CW163" i="14"/>
  <c r="CV163" i="14"/>
  <c r="CU163" i="14"/>
  <c r="CT163" i="14"/>
  <c r="DE162" i="14"/>
  <c r="DD162" i="14"/>
  <c r="DC162" i="14"/>
  <c r="DB162" i="14"/>
  <c r="DA162" i="14"/>
  <c r="CZ162" i="14"/>
  <c r="CY162" i="14"/>
  <c r="CX162" i="14"/>
  <c r="CW162" i="14"/>
  <c r="CV162" i="14"/>
  <c r="CU162" i="14"/>
  <c r="CT162" i="14"/>
  <c r="DE161" i="14"/>
  <c r="DD161" i="14"/>
  <c r="DC161" i="14"/>
  <c r="DB161" i="14"/>
  <c r="DA161" i="14"/>
  <c r="CZ161" i="14"/>
  <c r="CY161" i="14"/>
  <c r="CX161" i="14"/>
  <c r="CW161" i="14"/>
  <c r="CV161" i="14"/>
  <c r="CU161" i="14"/>
  <c r="CT161" i="14"/>
  <c r="DE160" i="14"/>
  <c r="DD160" i="14"/>
  <c r="DC160" i="14"/>
  <c r="DB160" i="14"/>
  <c r="DA160" i="14"/>
  <c r="CZ160" i="14"/>
  <c r="CY160" i="14"/>
  <c r="CX160" i="14"/>
  <c r="CW160" i="14"/>
  <c r="CV160" i="14"/>
  <c r="CU160" i="14"/>
  <c r="CT160" i="14"/>
  <c r="DE123" i="14"/>
  <c r="DD123" i="14"/>
  <c r="DC123" i="14"/>
  <c r="DB123" i="14"/>
  <c r="DA123" i="14"/>
  <c r="CZ123" i="14"/>
  <c r="CY123" i="14"/>
  <c r="CX123" i="14"/>
  <c r="CW123" i="14"/>
  <c r="CV123" i="14"/>
  <c r="CU123" i="14"/>
  <c r="CT123" i="14"/>
  <c r="DE122" i="14"/>
  <c r="DD122" i="14"/>
  <c r="DC122" i="14"/>
  <c r="DB122" i="14"/>
  <c r="DA122" i="14"/>
  <c r="CZ122" i="14"/>
  <c r="CY122" i="14"/>
  <c r="CX122" i="14"/>
  <c r="CW122" i="14"/>
  <c r="CV122" i="14"/>
  <c r="CU122" i="14"/>
  <c r="CT122" i="14"/>
  <c r="DE121" i="14"/>
  <c r="DD121" i="14"/>
  <c r="DC121" i="14"/>
  <c r="DB121" i="14"/>
  <c r="DA121" i="14"/>
  <c r="CZ121" i="14"/>
  <c r="CY121" i="14"/>
  <c r="CX121" i="14"/>
  <c r="CW121" i="14"/>
  <c r="CV121" i="14"/>
  <c r="CU121" i="14"/>
  <c r="CT121" i="14"/>
  <c r="DE120" i="14"/>
  <c r="DD120" i="14"/>
  <c r="DC120" i="14"/>
  <c r="DB120" i="14"/>
  <c r="DA120" i="14"/>
  <c r="CZ120" i="14"/>
  <c r="CY120" i="14"/>
  <c r="CX120" i="14"/>
  <c r="CW120" i="14"/>
  <c r="CV120" i="14"/>
  <c r="CU120" i="14"/>
  <c r="CT120" i="14"/>
  <c r="DE118" i="14"/>
  <c r="DD118" i="14"/>
  <c r="DC118" i="14"/>
  <c r="DB118" i="14"/>
  <c r="DA118" i="14"/>
  <c r="CZ118" i="14"/>
  <c r="CY118" i="14"/>
  <c r="CX118" i="14"/>
  <c r="CW118" i="14"/>
  <c r="CV118" i="14"/>
  <c r="CU118" i="14"/>
  <c r="CT118" i="14"/>
  <c r="DE72" i="14"/>
  <c r="DD72" i="14"/>
  <c r="DC72" i="14"/>
  <c r="DB72" i="14"/>
  <c r="DA72" i="14"/>
  <c r="CZ72" i="14"/>
  <c r="CY72" i="14"/>
  <c r="CX72" i="14"/>
  <c r="CW72" i="14"/>
  <c r="CV72" i="14"/>
  <c r="CU72" i="14"/>
  <c r="CT72" i="14"/>
  <c r="DE62" i="14"/>
  <c r="DD62" i="14"/>
  <c r="DC62" i="14"/>
  <c r="DB62" i="14"/>
  <c r="DA62" i="14"/>
  <c r="CZ62" i="14"/>
  <c r="CY62" i="14"/>
  <c r="CX62" i="14"/>
  <c r="CW62" i="14"/>
  <c r="CV62" i="14"/>
  <c r="CU62" i="14"/>
  <c r="CT62" i="14"/>
  <c r="DE59" i="14"/>
  <c r="DD59" i="14"/>
  <c r="DC59" i="14"/>
  <c r="DB59" i="14"/>
  <c r="DA59" i="14"/>
  <c r="CZ59" i="14"/>
  <c r="CY59" i="14"/>
  <c r="CX59" i="14"/>
  <c r="CW59" i="14"/>
  <c r="CV59" i="14"/>
  <c r="CU59" i="14"/>
  <c r="CT59" i="14"/>
  <c r="Q671" i="27"/>
  <c r="W671" i="27" s="1"/>
  <c r="Q670" i="27"/>
  <c r="W670" i="27" s="1"/>
  <c r="Q667" i="27"/>
  <c r="W667" i="27" s="1"/>
  <c r="Q666" i="27"/>
  <c r="W666" i="27" s="1"/>
  <c r="Q665" i="27"/>
  <c r="W665" i="27" s="1"/>
  <c r="Q660" i="27"/>
  <c r="W660" i="27" s="1"/>
  <c r="W657" i="27"/>
  <c r="Q656" i="27"/>
  <c r="W656" i="27" s="1"/>
  <c r="W691" i="27"/>
  <c r="W689" i="27"/>
  <c r="W685" i="27"/>
  <c r="W684" i="27"/>
  <c r="W672" i="27"/>
  <c r="W664" i="27"/>
  <c r="W655" i="27"/>
  <c r="DE41" i="14"/>
  <c r="DD41" i="14"/>
  <c r="DC41" i="14"/>
  <c r="DB41" i="14"/>
  <c r="DA41" i="14"/>
  <c r="CZ41" i="14"/>
  <c r="CY41" i="14"/>
  <c r="CX41" i="14"/>
  <c r="CW41" i="14"/>
  <c r="CV41" i="14"/>
  <c r="CU41" i="14"/>
  <c r="CT41" i="14"/>
  <c r="DE31" i="14"/>
  <c r="DD31" i="14"/>
  <c r="DC31" i="14"/>
  <c r="DB31" i="14"/>
  <c r="DA31" i="14"/>
  <c r="CZ31" i="14"/>
  <c r="CY31" i="14"/>
  <c r="CX31" i="14"/>
  <c r="CW31" i="14"/>
  <c r="CV31" i="14"/>
  <c r="CU31" i="14"/>
  <c r="CT31" i="14"/>
  <c r="DE28" i="14"/>
  <c r="DD28" i="14"/>
  <c r="DC28" i="14"/>
  <c r="DB28" i="14"/>
  <c r="DA28" i="14"/>
  <c r="CZ28" i="14"/>
  <c r="CY28" i="14"/>
  <c r="CX28" i="14"/>
  <c r="CW28" i="14"/>
  <c r="CV28" i="14"/>
  <c r="CU28" i="14"/>
  <c r="CT28" i="14"/>
  <c r="Q653" i="27"/>
  <c r="W653" i="27" s="1"/>
  <c r="DE8" i="14"/>
  <c r="DD8" i="14"/>
  <c r="DC8" i="14"/>
  <c r="DB8" i="14"/>
  <c r="DA8" i="14"/>
  <c r="CZ8" i="14"/>
  <c r="CY8" i="14"/>
  <c r="CX8" i="14"/>
  <c r="CW8" i="14"/>
  <c r="CV8" i="14"/>
  <c r="CU8" i="14"/>
  <c r="CT8" i="14"/>
  <c r="CS8" i="14"/>
  <c r="CR8" i="14"/>
  <c r="CQ8" i="14"/>
  <c r="CP8" i="14"/>
  <c r="CO8" i="14"/>
  <c r="CN8" i="14"/>
  <c r="CM8" i="14"/>
  <c r="CL8" i="14"/>
  <c r="CK8" i="14"/>
  <c r="CJ8" i="14"/>
  <c r="CI8" i="14"/>
  <c r="CH8" i="14"/>
  <c r="Q652" i="27"/>
  <c r="W652" i="27" s="1"/>
  <c r="Q650" i="27"/>
  <c r="W650" i="27" s="1"/>
  <c r="Q649" i="27"/>
  <c r="W649" i="27" s="1"/>
  <c r="Q648" i="27"/>
  <c r="W648" i="27" s="1"/>
  <c r="Q642" i="27"/>
  <c r="W642" i="27" s="1"/>
  <c r="Q641" i="27"/>
  <c r="W641" i="27" s="1"/>
  <c r="Q640" i="27"/>
  <c r="W640" i="27" s="1"/>
  <c r="W639" i="27"/>
  <c r="W645" i="27"/>
  <c r="W644" i="27"/>
  <c r="W643" i="27"/>
  <c r="W638" i="27"/>
  <c r="Q601" i="27"/>
  <c r="Q580" i="27"/>
  <c r="Q577" i="27"/>
  <c r="Q571" i="27"/>
  <c r="Q566" i="27"/>
  <c r="Q565" i="27"/>
  <c r="Q562" i="27"/>
  <c r="Q561" i="27"/>
  <c r="Q559" i="27"/>
  <c r="Q556" i="27"/>
  <c r="Q555" i="27"/>
  <c r="Q543" i="27"/>
  <c r="AH153" i="27"/>
  <c r="AI153" i="27" s="1"/>
  <c r="AJ153" i="27"/>
  <c r="AK153" i="27" s="1"/>
  <c r="ED164" i="14" l="1"/>
  <c r="ED159" i="14"/>
  <c r="ED124" i="14"/>
  <c r="ED119" i="14"/>
  <c r="DA50" i="14"/>
  <c r="DE81" i="14"/>
  <c r="DE82" i="14" s="1"/>
  <c r="DC81" i="14"/>
  <c r="DC82" i="14" s="1"/>
  <c r="CU81" i="14"/>
  <c r="CU82" i="14" s="1"/>
  <c r="CV50" i="14"/>
  <c r="CX50" i="14"/>
  <c r="DD50" i="14"/>
  <c r="DB50" i="14"/>
  <c r="DA81" i="14"/>
  <c r="DA82" i="14" s="1"/>
  <c r="DE50" i="14"/>
  <c r="CY50" i="14"/>
  <c r="CY81" i="14"/>
  <c r="CY82" i="14" s="1"/>
  <c r="CW81" i="14"/>
  <c r="CW82" i="14" s="1"/>
  <c r="CU50" i="14"/>
  <c r="FH118" i="14"/>
  <c r="FH124" i="14" s="1"/>
  <c r="FG118" i="14"/>
  <c r="FG124" i="14" s="1"/>
  <c r="FF118" i="14"/>
  <c r="FF124" i="14" s="1"/>
  <c r="FE118" i="14"/>
  <c r="CZ81" i="14"/>
  <c r="CZ82" i="14" s="1"/>
  <c r="DD81" i="14"/>
  <c r="DD82" i="14" s="1"/>
  <c r="CT81" i="14"/>
  <c r="CT82" i="14" s="1"/>
  <c r="DB81" i="14"/>
  <c r="DB82" i="14" s="1"/>
  <c r="CX81" i="14"/>
  <c r="CX82" i="14" s="1"/>
  <c r="CV81" i="14"/>
  <c r="CV82" i="14" s="1"/>
  <c r="FF41" i="14"/>
  <c r="FH41" i="14"/>
  <c r="FG41" i="14"/>
  <c r="FE41" i="14"/>
  <c r="FH31" i="14"/>
  <c r="FG31" i="14"/>
  <c r="FF31" i="14"/>
  <c r="FE31" i="14"/>
  <c r="DC50" i="14"/>
  <c r="FH28" i="14"/>
  <c r="CZ50" i="14"/>
  <c r="FG28" i="14"/>
  <c r="CW50" i="14"/>
  <c r="FF28" i="14"/>
  <c r="CT50" i="14"/>
  <c r="FE28" i="14"/>
  <c r="AL153" i="27"/>
  <c r="O153" i="27"/>
  <c r="AI154" i="27"/>
  <c r="AJ154" i="27"/>
  <c r="AL154" i="27" s="1"/>
  <c r="O154" i="27"/>
  <c r="FD46" i="14"/>
  <c r="FC46" i="14"/>
  <c r="FB46" i="14"/>
  <c r="FA46" i="14"/>
  <c r="EZ46" i="14"/>
  <c r="EY46" i="14"/>
  <c r="EX46" i="14"/>
  <c r="EW46" i="14"/>
  <c r="EV46" i="14"/>
  <c r="EU46" i="14"/>
  <c r="ET46" i="14"/>
  <c r="ES46" i="14"/>
  <c r="ER46" i="14"/>
  <c r="EQ46" i="14"/>
  <c r="EP46" i="14"/>
  <c r="EO46" i="14"/>
  <c r="EN46" i="14"/>
  <c r="EM46" i="14"/>
  <c r="EL46" i="14"/>
  <c r="EK46" i="14"/>
  <c r="EJ46" i="14"/>
  <c r="EI46" i="14"/>
  <c r="EH46" i="14"/>
  <c r="EG46" i="14"/>
  <c r="EF46" i="14"/>
  <c r="FR46" i="14" s="1"/>
  <c r="AP23" i="25"/>
  <c r="AD23" i="25"/>
  <c r="J213" i="5"/>
  <c r="I213" i="5"/>
  <c r="H213" i="5"/>
  <c r="Q189" i="27"/>
  <c r="Q176" i="27"/>
  <c r="Q170" i="27"/>
  <c r="Q178" i="27"/>
  <c r="Q171" i="27"/>
  <c r="Q182" i="27"/>
  <c r="Q486" i="27"/>
  <c r="BI179" i="14"/>
  <c r="FE124" i="14" l="1"/>
  <c r="FY118" i="14"/>
  <c r="FY41" i="14"/>
  <c r="FY31" i="14"/>
  <c r="FY28" i="14"/>
  <c r="FG50" i="14"/>
  <c r="FG51" i="14" s="1"/>
  <c r="FH50" i="14"/>
  <c r="FH52" i="14" s="1"/>
  <c r="FF50" i="14"/>
  <c r="FF52" i="14" s="1"/>
  <c r="FE50" i="14"/>
  <c r="FH123" i="14"/>
  <c r="FH119" i="14"/>
  <c r="FH122" i="14"/>
  <c r="FF123" i="14"/>
  <c r="FF119" i="14"/>
  <c r="FF122" i="14"/>
  <c r="FF121" i="14"/>
  <c r="FF120" i="14"/>
  <c r="FH121" i="14"/>
  <c r="FH120" i="14"/>
  <c r="FE122" i="14"/>
  <c r="FE120" i="14"/>
  <c r="FG121" i="14"/>
  <c r="FG119" i="14"/>
  <c r="FG123" i="14"/>
  <c r="FG120" i="14"/>
  <c r="FG122" i="14"/>
  <c r="FE119" i="14"/>
  <c r="FE121" i="14"/>
  <c r="FE123" i="14"/>
  <c r="FX46" i="14"/>
  <c r="FW46" i="14"/>
  <c r="FV46" i="14"/>
  <c r="FU46" i="14"/>
  <c r="FT46" i="14"/>
  <c r="FS46" i="14"/>
  <c r="AK154" i="27"/>
  <c r="D174" i="5"/>
  <c r="Q357" i="27"/>
  <c r="W357" i="27" s="1"/>
  <c r="W354" i="27"/>
  <c r="W349" i="27"/>
  <c r="W348" i="27"/>
  <c r="W347" i="27"/>
  <c r="Q346" i="27"/>
  <c r="W346" i="27" s="1"/>
  <c r="Q345" i="27"/>
  <c r="W345" i="27" s="1"/>
  <c r="W344" i="27"/>
  <c r="Q343" i="27"/>
  <c r="W343" i="27" s="1"/>
  <c r="Q342" i="27"/>
  <c r="W342" i="27" s="1"/>
  <c r="W339" i="27"/>
  <c r="Q338" i="27"/>
  <c r="W338" i="27" s="1"/>
  <c r="W337" i="27"/>
  <c r="W336" i="27"/>
  <c r="W335" i="27"/>
  <c r="W333" i="27"/>
  <c r="Q330" i="27"/>
  <c r="W330" i="27" s="1"/>
  <c r="W327" i="27"/>
  <c r="Q319" i="27"/>
  <c r="W318" i="27"/>
  <c r="Q307" i="27"/>
  <c r="FY50" i="14" l="1"/>
  <c r="FG52" i="14"/>
  <c r="FH53" i="14"/>
  <c r="FG54" i="14"/>
  <c r="FH54" i="14"/>
  <c r="FG53" i="14"/>
  <c r="FH51" i="14"/>
  <c r="FF53" i="14"/>
  <c r="FF54" i="14"/>
  <c r="FF51" i="14"/>
  <c r="FE52" i="14"/>
  <c r="FE54" i="14"/>
  <c r="FE51" i="14"/>
  <c r="FE53" i="14"/>
  <c r="L736" i="27"/>
  <c r="L722" i="27"/>
  <c r="L738" i="27"/>
  <c r="L500" i="27"/>
  <c r="L501" i="27"/>
  <c r="AJ737" i="27"/>
  <c r="L737" i="27"/>
  <c r="AJ512" i="27"/>
  <c r="AK737" i="27" l="1"/>
  <c r="L512" i="27"/>
  <c r="AK512" i="27" s="1"/>
  <c r="L723" i="27"/>
  <c r="L507" i="27"/>
  <c r="L528" i="27"/>
  <c r="L521" i="27" l="1"/>
  <c r="L740" i="27"/>
  <c r="L508" i="27"/>
  <c r="L721" i="27"/>
  <c r="AI516" i="27" l="1"/>
  <c r="L516" i="27" l="1"/>
  <c r="L724" i="27"/>
  <c r="L527" i="27"/>
  <c r="AH527" i="27"/>
  <c r="AJ718" i="27"/>
  <c r="L718" i="27"/>
  <c r="AJ717" i="27"/>
  <c r="AK717" i="27" s="1"/>
  <c r="AJ715" i="27"/>
  <c r="L715" i="27"/>
  <c r="L515" i="27"/>
  <c r="L726" i="27"/>
  <c r="L747" i="27"/>
  <c r="L513" i="27"/>
  <c r="L735" i="27"/>
  <c r="L733" i="27"/>
  <c r="L221" i="27"/>
  <c r="L222" i="27"/>
  <c r="AI220" i="27"/>
  <c r="L713" i="27"/>
  <c r="L729" i="27"/>
  <c r="L730" i="27"/>
  <c r="AK718" i="27" l="1"/>
  <c r="AK715" i="27"/>
  <c r="AH169" i="27"/>
  <c r="L169" i="27"/>
  <c r="L708" i="27"/>
  <c r="L707" i="27"/>
  <c r="L706" i="27"/>
  <c r="Q478" i="27"/>
  <c r="AJ172" i="27"/>
  <c r="AH172" i="27"/>
  <c r="AJ8" i="27"/>
  <c r="AL8" i="27" s="1"/>
  <c r="Q8" i="27"/>
  <c r="O186" i="27"/>
  <c r="W184" i="27"/>
  <c r="AL172" i="27" l="1"/>
  <c r="AK8" i="27"/>
  <c r="AK172" i="27"/>
  <c r="AJ477" i="27"/>
  <c r="Q477" i="27"/>
  <c r="W249" i="27"/>
  <c r="AJ37" i="27"/>
  <c r="L37" i="27"/>
  <c r="AJ375" i="27"/>
  <c r="AK375" i="27" s="1"/>
  <c r="L705" i="27"/>
  <c r="L510" i="27"/>
  <c r="L714" i="27"/>
  <c r="L703" i="27"/>
  <c r="L704" i="27"/>
  <c r="AH502" i="27"/>
  <c r="AH505" i="27"/>
  <c r="L702" i="27"/>
  <c r="AH702" i="27"/>
  <c r="AK37" i="27" l="1"/>
  <c r="AK477" i="27"/>
  <c r="L699" i="27"/>
  <c r="L698" i="27"/>
  <c r="Q244" i="27"/>
  <c r="Q242" i="27"/>
  <c r="Q241" i="27"/>
  <c r="O181" i="27"/>
  <c r="W181" i="27"/>
  <c r="Q498" i="27"/>
  <c r="AJ498" i="27" l="1"/>
  <c r="BH179" i="14" l="1"/>
  <c r="AH499" i="27"/>
  <c r="AI499" i="27" s="1"/>
  <c r="L499" i="27"/>
  <c r="L373" i="27"/>
  <c r="L697" i="27"/>
  <c r="AH376" i="27"/>
  <c r="AI376" i="27" s="1"/>
  <c r="L693" i="27"/>
  <c r="L694" i="27"/>
  <c r="L696" i="27"/>
  <c r="L695" i="27" l="1"/>
  <c r="AJ285" i="27"/>
  <c r="AK285" i="27" s="1"/>
  <c r="L685" i="27" l="1"/>
  <c r="L684" i="27"/>
  <c r="L689" i="27"/>
  <c r="L688" i="27"/>
  <c r="L690" i="27"/>
  <c r="AJ686" i="27"/>
  <c r="L686" i="27"/>
  <c r="W248" i="27"/>
  <c r="L284" i="27"/>
  <c r="AJ371" i="27"/>
  <c r="AK371" i="27" s="1"/>
  <c r="AK686" i="27" l="1"/>
  <c r="L377" i="27"/>
  <c r="L679" i="27"/>
  <c r="Q485" i="27"/>
  <c r="L672" i="27"/>
  <c r="L671" i="27"/>
  <c r="L670" i="27"/>
  <c r="L678" i="27"/>
  <c r="BE179" i="14" l="1"/>
  <c r="BE180" i="14"/>
  <c r="BF179" i="14"/>
  <c r="BF180" i="14"/>
  <c r="BG179" i="14" l="1"/>
  <c r="AH255" i="27" l="1"/>
  <c r="AI255" i="27" s="1"/>
  <c r="AI365" i="27"/>
  <c r="L365" i="27"/>
  <c r="L665" i="27"/>
  <c r="L667" i="27"/>
  <c r="L666" i="27"/>
  <c r="AI657" i="27"/>
  <c r="L659" i="27"/>
  <c r="L657" i="27"/>
  <c r="L656" i="27"/>
  <c r="L655" i="27"/>
  <c r="L653" i="27"/>
  <c r="L652" i="27"/>
  <c r="AJ651" i="27"/>
  <c r="L651" i="27"/>
  <c r="L650" i="27"/>
  <c r="L649" i="27"/>
  <c r="L648" i="27"/>
  <c r="L647" i="27"/>
  <c r="L362" i="27"/>
  <c r="L645" i="27"/>
  <c r="L644" i="27"/>
  <c r="L643" i="27"/>
  <c r="L642" i="27"/>
  <c r="AJ641" i="27"/>
  <c r="L641" i="27"/>
  <c r="AJ640" i="27"/>
  <c r="AK640" i="27" s="1"/>
  <c r="AK641" i="27" l="1"/>
  <c r="AK651" i="27"/>
  <c r="W636" i="27"/>
  <c r="W635" i="27"/>
  <c r="W634" i="27"/>
  <c r="W633" i="27"/>
  <c r="Q632" i="27"/>
  <c r="W632" i="27" s="1"/>
  <c r="Q631" i="27"/>
  <c r="W631" i="27" s="1"/>
  <c r="Q630" i="27"/>
  <c r="W630" i="27" s="1"/>
  <c r="Q629" i="27"/>
  <c r="W629" i="27" s="1"/>
  <c r="W619" i="27"/>
  <c r="Q611" i="27"/>
  <c r="Q600" i="27"/>
  <c r="W251" i="27"/>
  <c r="L250" i="27"/>
  <c r="Q246" i="27"/>
  <c r="Q245" i="27"/>
  <c r="W472" i="27"/>
  <c r="O792" i="27"/>
  <c r="O791" i="27"/>
  <c r="W177" i="27" l="1"/>
  <c r="R30" i="5" l="1"/>
  <c r="D160" i="5"/>
  <c r="D173" i="5"/>
  <c r="L636" i="27" l="1"/>
  <c r="L372" i="27"/>
  <c r="L637" i="27"/>
  <c r="AH646" i="27" l="1"/>
  <c r="AI646" i="27" s="1"/>
  <c r="L634" i="27" l="1"/>
  <c r="AJ633" i="27"/>
  <c r="L633" i="27"/>
  <c r="L632" i="27"/>
  <c r="L631" i="27"/>
  <c r="AK633" i="27" l="1"/>
  <c r="Q563" i="27"/>
  <c r="Q247" i="27"/>
  <c r="W247" i="27" s="1"/>
  <c r="W244" i="27" l="1"/>
  <c r="W242" i="27"/>
  <c r="W150" i="27"/>
  <c r="L17" i="29"/>
  <c r="W149" i="27"/>
  <c r="W148" i="27"/>
  <c r="W147" i="27"/>
  <c r="W145" i="27"/>
  <c r="Q144" i="27"/>
  <c r="S9" i="29"/>
  <c r="T111" i="5" s="1"/>
  <c r="T109" i="5" s="1"/>
  <c r="T118" i="5" s="1"/>
  <c r="P10" i="29"/>
  <c r="P11" i="29"/>
  <c r="Q140" i="27"/>
  <c r="W140" i="27" s="1"/>
  <c r="BE178" i="14" l="1"/>
  <c r="W340" i="27"/>
  <c r="Q326" i="27"/>
  <c r="W326" i="27" s="1"/>
  <c r="W324" i="27"/>
  <c r="W325" i="27"/>
  <c r="W321" i="27"/>
  <c r="Q320" i="27"/>
  <c r="W320" i="27" s="1"/>
  <c r="W319" i="27"/>
  <c r="Q316" i="27"/>
  <c r="W316" i="27" s="1"/>
  <c r="Q308" i="27"/>
  <c r="W308" i="27" s="1"/>
  <c r="Q294" i="27"/>
  <c r="Q628" i="27"/>
  <c r="W628" i="27" s="1"/>
  <c r="Q627" i="27"/>
  <c r="W627" i="27" s="1"/>
  <c r="Q626" i="27"/>
  <c r="W626" i="27" s="1"/>
  <c r="Q625" i="27"/>
  <c r="W625" i="27" s="1"/>
  <c r="W623" i="27"/>
  <c r="Q622" i="27"/>
  <c r="W622" i="27" s="1"/>
  <c r="Q593" i="27"/>
  <c r="W620" i="27"/>
  <c r="W621" i="27"/>
  <c r="O621" i="27"/>
  <c r="AJ620" i="27" l="1"/>
  <c r="L620" i="27"/>
  <c r="L628" i="27"/>
  <c r="L625" i="27"/>
  <c r="L627" i="27"/>
  <c r="L626" i="27"/>
  <c r="L369" i="27"/>
  <c r="AJ624" i="27"/>
  <c r="L624" i="27"/>
  <c r="L623" i="27"/>
  <c r="L622" i="27"/>
  <c r="L346" i="27"/>
  <c r="W618" i="27"/>
  <c r="Q617" i="27"/>
  <c r="W617" i="27" s="1"/>
  <c r="W611" i="27"/>
  <c r="W610" i="27"/>
  <c r="W609" i="27"/>
  <c r="W607" i="27"/>
  <c r="Q592" i="27"/>
  <c r="Q544" i="27"/>
  <c r="O188" i="27"/>
  <c r="Q488" i="27"/>
  <c r="L618" i="27"/>
  <c r="L619" i="27"/>
  <c r="L352" i="27"/>
  <c r="L374" i="27"/>
  <c r="AK620" i="27" l="1"/>
  <c r="AK624" i="27"/>
  <c r="AK44" i="5"/>
  <c r="L344" i="27"/>
  <c r="L348" i="27" l="1"/>
  <c r="L368" i="27"/>
  <c r="AI347" i="27"/>
  <c r="L347" i="27"/>
  <c r="L343" i="27"/>
  <c r="L341" i="27"/>
  <c r="L339" i="27"/>
  <c r="L338" i="27"/>
  <c r="L337" i="27"/>
  <c r="L336" i="27"/>
  <c r="W615" i="27"/>
  <c r="W616" i="27"/>
  <c r="AJ334" i="27"/>
  <c r="AK334" i="27" s="1"/>
  <c r="O334" i="27"/>
  <c r="Q583" i="27"/>
  <c r="O787" i="27"/>
  <c r="AJ786" i="27"/>
  <c r="AK786" i="27" s="1"/>
  <c r="O786" i="27"/>
  <c r="Q473" i="27"/>
  <c r="BC180" i="14"/>
  <c r="W613" i="27" l="1"/>
  <c r="Q612" i="27"/>
  <c r="W612" i="27" s="1"/>
  <c r="L615" i="27"/>
  <c r="P42" i="29" l="1"/>
  <c r="L342" i="27"/>
  <c r="AK342" i="27" s="1"/>
  <c r="O350" i="27"/>
  <c r="AI350" i="27"/>
  <c r="L40" i="29"/>
  <c r="P38" i="29" l="1"/>
  <c r="AJ351" i="27"/>
  <c r="O351" i="27"/>
  <c r="AH351" i="27"/>
  <c r="AI351" i="27" s="1"/>
  <c r="W180" i="27"/>
  <c r="Q483" i="27"/>
  <c r="W483" i="27" s="1"/>
  <c r="AI186" i="27"/>
  <c r="AL351" i="27" l="1"/>
  <c r="AK351" i="27"/>
  <c r="AH331" i="27"/>
  <c r="O611" i="27"/>
  <c r="O610" i="27"/>
  <c r="Q608" i="27"/>
  <c r="W608" i="27" s="1"/>
  <c r="O608" i="27"/>
  <c r="Q606" i="27"/>
  <c r="W606" i="27" s="1"/>
  <c r="Q605" i="27"/>
  <c r="W605" i="27" s="1"/>
  <c r="Q597" i="27"/>
  <c r="Q595" i="27"/>
  <c r="Q594" i="27"/>
  <c r="Q590" i="27"/>
  <c r="Q588" i="27"/>
  <c r="W315" i="27"/>
  <c r="W313" i="27"/>
  <c r="Q300" i="27"/>
  <c r="W300" i="27" s="1"/>
  <c r="Q299" i="27" l="1"/>
  <c r="W299" i="27" s="1"/>
  <c r="BA179" i="14"/>
  <c r="W117" i="27"/>
  <c r="W115" i="27"/>
  <c r="W116" i="27"/>
  <c r="O112" i="27"/>
  <c r="W112" i="27"/>
  <c r="W113" i="27"/>
  <c r="W311" i="27"/>
  <c r="Q310" i="27"/>
  <c r="W310" i="27" s="1"/>
  <c r="Q302" i="27"/>
  <c r="W302" i="27" s="1"/>
  <c r="Q301" i="27"/>
  <c r="W301" i="27" s="1"/>
  <c r="L607" i="27" l="1"/>
  <c r="L332" i="27"/>
  <c r="O332" i="27" s="1"/>
  <c r="O485" i="27"/>
  <c r="AI332" i="27"/>
  <c r="Q578" i="27"/>
  <c r="AJ509" i="27"/>
  <c r="AK509" i="27" s="1"/>
  <c r="W182" i="27"/>
  <c r="W189" i="27"/>
  <c r="AK326" i="27"/>
  <c r="O326" i="27"/>
  <c r="O216" i="27" l="1"/>
  <c r="O316" i="27"/>
  <c r="CS72" i="14" l="1"/>
  <c r="CR72" i="14"/>
  <c r="CQ72" i="14"/>
  <c r="CP72" i="14"/>
  <c r="CO72" i="14"/>
  <c r="CN72" i="14"/>
  <c r="CM72" i="14"/>
  <c r="CL72" i="14"/>
  <c r="CK72" i="14"/>
  <c r="CJ72" i="14"/>
  <c r="CI72" i="14"/>
  <c r="CH72" i="14"/>
  <c r="CG72" i="14"/>
  <c r="CF72" i="14"/>
  <c r="CE72" i="14"/>
  <c r="CD72" i="14"/>
  <c r="CC72" i="14"/>
  <c r="CB72" i="14"/>
  <c r="CA72" i="14"/>
  <c r="BZ72" i="14"/>
  <c r="BY72" i="14"/>
  <c r="BX72" i="14"/>
  <c r="BW72" i="14"/>
  <c r="BV72" i="14"/>
  <c r="BU72" i="14"/>
  <c r="BT72" i="14"/>
  <c r="BS72" i="14"/>
  <c r="BR72" i="14"/>
  <c r="BQ72" i="14"/>
  <c r="BP72" i="14"/>
  <c r="BO72" i="14"/>
  <c r="BN72" i="14"/>
  <c r="BM72" i="14"/>
  <c r="BL72" i="14"/>
  <c r="BK72" i="14"/>
  <c r="BJ72" i="14"/>
  <c r="BI72" i="14"/>
  <c r="BH72" i="14"/>
  <c r="BG72" i="14"/>
  <c r="BF72" i="14"/>
  <c r="BE72" i="14"/>
  <c r="BD72" i="14"/>
  <c r="BC72" i="14"/>
  <c r="BB72" i="14"/>
  <c r="BA72" i="14"/>
  <c r="AZ72" i="14"/>
  <c r="AY72" i="14"/>
  <c r="AX72" i="14"/>
  <c r="AW72" i="14"/>
  <c r="AV72" i="14"/>
  <c r="AU72" i="14"/>
  <c r="AT72" i="14"/>
  <c r="AS72" i="14"/>
  <c r="AR72" i="14"/>
  <c r="AQ72" i="14"/>
  <c r="AP72" i="14"/>
  <c r="AO72" i="14"/>
  <c r="AN72" i="14"/>
  <c r="AM72" i="14"/>
  <c r="AL72" i="14"/>
  <c r="AK72" i="14"/>
  <c r="AJ72" i="14"/>
  <c r="AI72" i="14"/>
  <c r="AH72" i="14"/>
  <c r="AG72" i="14"/>
  <c r="AF72" i="14"/>
  <c r="AE72" i="14"/>
  <c r="AD72" i="14"/>
  <c r="AC72" i="14"/>
  <c r="AB72" i="14"/>
  <c r="AA72" i="14"/>
  <c r="Z72" i="14"/>
  <c r="Y72" i="14"/>
  <c r="X72" i="14"/>
  <c r="W72" i="14"/>
  <c r="V72" i="14"/>
  <c r="U72" i="14"/>
  <c r="T72" i="14"/>
  <c r="S72" i="14"/>
  <c r="R72" i="14"/>
  <c r="Q72" i="14"/>
  <c r="P72" i="14"/>
  <c r="O72" i="14"/>
  <c r="N72" i="14"/>
  <c r="FD42" i="14"/>
  <c r="FC42" i="14"/>
  <c r="FB42" i="14"/>
  <c r="FA42" i="14"/>
  <c r="EZ42" i="14"/>
  <c r="EY42" i="14"/>
  <c r="EX42" i="14"/>
  <c r="EW42" i="14"/>
  <c r="EV42" i="14"/>
  <c r="EU42" i="14"/>
  <c r="ET42" i="14"/>
  <c r="ES42" i="14"/>
  <c r="ER42" i="14"/>
  <c r="EQ42" i="14"/>
  <c r="EP42" i="14"/>
  <c r="EO42" i="14"/>
  <c r="EN42" i="14"/>
  <c r="EM42" i="14"/>
  <c r="EL42" i="14"/>
  <c r="EK42" i="14"/>
  <c r="EJ42" i="14"/>
  <c r="EI42" i="14"/>
  <c r="EH42" i="14"/>
  <c r="EG42" i="14"/>
  <c r="EF42" i="14"/>
  <c r="FR42" i="14" s="1"/>
  <c r="CS41" i="14"/>
  <c r="CR41" i="14"/>
  <c r="CQ41" i="14"/>
  <c r="CP41" i="14"/>
  <c r="CO41" i="14"/>
  <c r="CN41" i="14"/>
  <c r="CM41" i="14"/>
  <c r="CL41" i="14"/>
  <c r="CK41" i="14"/>
  <c r="CJ41" i="14"/>
  <c r="CI41" i="14"/>
  <c r="CH41" i="14"/>
  <c r="CG41" i="14"/>
  <c r="CF41" i="14"/>
  <c r="CE41" i="14"/>
  <c r="CD41" i="14"/>
  <c r="CC41" i="14"/>
  <c r="CB41" i="14"/>
  <c r="CA41" i="14"/>
  <c r="BZ41" i="14"/>
  <c r="BY41" i="14"/>
  <c r="BX41" i="14"/>
  <c r="BW41" i="14"/>
  <c r="BV41" i="14"/>
  <c r="BU41" i="14"/>
  <c r="BT41" i="14"/>
  <c r="BS41" i="14"/>
  <c r="BR41" i="14"/>
  <c r="BQ41" i="14"/>
  <c r="BP41" i="14"/>
  <c r="BO41" i="14"/>
  <c r="BN41" i="14"/>
  <c r="BM41" i="14"/>
  <c r="BL41" i="14"/>
  <c r="BK41" i="14"/>
  <c r="BJ41" i="14"/>
  <c r="BI41" i="14"/>
  <c r="BH41" i="14"/>
  <c r="BG41" i="14"/>
  <c r="BF41" i="14"/>
  <c r="BE41" i="14"/>
  <c r="BD41" i="14"/>
  <c r="BC41" i="14"/>
  <c r="BB41" i="14"/>
  <c r="BA41" i="14"/>
  <c r="AZ41" i="14"/>
  <c r="AY41" i="14"/>
  <c r="AX41" i="14"/>
  <c r="AW41" i="14"/>
  <c r="AV41" i="14"/>
  <c r="AU41" i="14"/>
  <c r="AT41" i="14"/>
  <c r="AS41" i="14"/>
  <c r="AR41" i="14"/>
  <c r="AQ41" i="14"/>
  <c r="AP41" i="14"/>
  <c r="AO41" i="14"/>
  <c r="AN41" i="14"/>
  <c r="AM41" i="14"/>
  <c r="AL41" i="14"/>
  <c r="AK41" i="14"/>
  <c r="AJ41" i="14"/>
  <c r="AI41" i="14"/>
  <c r="AH41" i="14"/>
  <c r="AG41" i="14"/>
  <c r="AF41" i="14"/>
  <c r="AE41" i="14"/>
  <c r="AD41" i="14"/>
  <c r="AC41" i="14"/>
  <c r="AB41" i="14"/>
  <c r="AA41" i="14"/>
  <c r="Z41" i="14"/>
  <c r="Y41" i="14"/>
  <c r="X41" i="14"/>
  <c r="W41" i="14"/>
  <c r="V41" i="14"/>
  <c r="U41" i="14"/>
  <c r="T41" i="14"/>
  <c r="S41" i="14"/>
  <c r="R41" i="14"/>
  <c r="Q41" i="14"/>
  <c r="P41" i="14"/>
  <c r="O41" i="14"/>
  <c r="N41" i="14"/>
  <c r="AO18" i="25"/>
  <c r="AN18" i="25"/>
  <c r="AM18" i="25"/>
  <c r="AJ18" i="25"/>
  <c r="AI18" i="25"/>
  <c r="AH18" i="25"/>
  <c r="AG18" i="25"/>
  <c r="AF18" i="25"/>
  <c r="AC18" i="25"/>
  <c r="AB18" i="25"/>
  <c r="AA18" i="25"/>
  <c r="Z18" i="25"/>
  <c r="Y18" i="25"/>
  <c r="X18" i="25"/>
  <c r="W18" i="25"/>
  <c r="T18" i="25"/>
  <c r="S18" i="25"/>
  <c r="R18" i="25"/>
  <c r="Q18" i="25"/>
  <c r="P18" i="25"/>
  <c r="O18" i="25"/>
  <c r="N18" i="25"/>
  <c r="M18" i="25"/>
  <c r="L18" i="25"/>
  <c r="K18" i="25"/>
  <c r="J18" i="25"/>
  <c r="I18" i="25"/>
  <c r="H18" i="25"/>
  <c r="G18" i="25"/>
  <c r="F18" i="25"/>
  <c r="E18" i="25"/>
  <c r="U18" i="25"/>
  <c r="C18" i="25"/>
  <c r="B18" i="25"/>
  <c r="AP19" i="25"/>
  <c r="AD19" i="25"/>
  <c r="G208" i="5"/>
  <c r="F208" i="5"/>
  <c r="E208" i="5"/>
  <c r="D208" i="5"/>
  <c r="C208" i="5"/>
  <c r="B208" i="5"/>
  <c r="J209" i="5"/>
  <c r="I209" i="5"/>
  <c r="H209" i="5"/>
  <c r="S109" i="5"/>
  <c r="R109" i="5"/>
  <c r="Q109" i="5"/>
  <c r="P109" i="5"/>
  <c r="N109" i="5"/>
  <c r="M109" i="5"/>
  <c r="K109" i="5"/>
  <c r="J109" i="5"/>
  <c r="I109" i="5"/>
  <c r="H109" i="5"/>
  <c r="G109" i="5"/>
  <c r="F109" i="5"/>
  <c r="E109" i="5"/>
  <c r="D109" i="5"/>
  <c r="C109" i="5"/>
  <c r="B109" i="5"/>
  <c r="AJ353" i="27"/>
  <c r="FX42" i="14" l="1"/>
  <c r="FW42" i="14"/>
  <c r="FV42" i="14"/>
  <c r="FU42" i="14"/>
  <c r="FT42" i="14"/>
  <c r="FS42" i="14"/>
  <c r="AK353" i="27"/>
  <c r="AH353" i="27" l="1"/>
  <c r="AL353" i="27" s="1"/>
  <c r="O496" i="27" l="1"/>
  <c r="O495" i="27"/>
  <c r="O494" i="27"/>
  <c r="O493" i="27"/>
  <c r="O492" i="27"/>
  <c r="L315" i="27"/>
  <c r="L320" i="27"/>
  <c r="L319" i="27"/>
  <c r="L313" i="27"/>
  <c r="O325" i="27"/>
  <c r="AI217" i="27" l="1"/>
  <c r="L314" i="27"/>
  <c r="W468" i="27"/>
  <c r="O497" i="27"/>
  <c r="Q490" i="27" l="1"/>
  <c r="W490" i="27" s="1"/>
  <c r="Q239" i="27"/>
  <c r="AJ314" i="27"/>
  <c r="AL314" i="27" s="1"/>
  <c r="AI314" i="27"/>
  <c r="W314" i="27"/>
  <c r="AK314" i="27" l="1"/>
  <c r="AK784" i="27"/>
  <c r="O784" i="27"/>
  <c r="AK783" i="27" l="1"/>
  <c r="AK782" i="27"/>
  <c r="O782" i="27"/>
  <c r="AJ462" i="27"/>
  <c r="AK462" i="27" s="1"/>
  <c r="O462" i="27"/>
  <c r="Q474" i="27"/>
  <c r="AJ785" i="27"/>
  <c r="AK785" i="27" s="1"/>
  <c r="O785" i="27"/>
  <c r="O469" i="27"/>
  <c r="W469" i="27"/>
  <c r="CS123" i="14"/>
  <c r="CR123" i="14"/>
  <c r="CQ123" i="14"/>
  <c r="CP123" i="14"/>
  <c r="CO123" i="14"/>
  <c r="CN123" i="14"/>
  <c r="CM123" i="14"/>
  <c r="CL123" i="14"/>
  <c r="CK123" i="14"/>
  <c r="CJ123" i="14"/>
  <c r="CI123" i="14"/>
  <c r="CH123" i="14"/>
  <c r="CS122" i="14"/>
  <c r="CR122" i="14"/>
  <c r="CQ122" i="14"/>
  <c r="CP122" i="14"/>
  <c r="CO122" i="14"/>
  <c r="CN122" i="14"/>
  <c r="CM122" i="14"/>
  <c r="CL122" i="14"/>
  <c r="CK122" i="14"/>
  <c r="CJ122" i="14"/>
  <c r="CI122" i="14"/>
  <c r="CH122" i="14"/>
  <c r="CS121" i="14"/>
  <c r="CR121" i="14"/>
  <c r="CQ121" i="14"/>
  <c r="CP121" i="14"/>
  <c r="CO121" i="14"/>
  <c r="CN121" i="14"/>
  <c r="CM121" i="14"/>
  <c r="CL121" i="14"/>
  <c r="CK121" i="14"/>
  <c r="CJ121" i="14"/>
  <c r="CI121" i="14"/>
  <c r="CH121" i="14"/>
  <c r="CS120" i="14"/>
  <c r="CR120" i="14"/>
  <c r="CQ120" i="14"/>
  <c r="CP120" i="14"/>
  <c r="CO120" i="14"/>
  <c r="CN120" i="14"/>
  <c r="CM120" i="14"/>
  <c r="CL120" i="14"/>
  <c r="CK120" i="14"/>
  <c r="CJ120" i="14"/>
  <c r="CI120" i="14"/>
  <c r="CH120" i="14"/>
  <c r="P32" i="29"/>
  <c r="O781" i="27" l="1"/>
  <c r="AI461" i="27"/>
  <c r="O461" i="27"/>
  <c r="O464" i="27" l="1"/>
  <c r="L287" i="27" l="1"/>
  <c r="CH118" i="14"/>
  <c r="W106" i="27"/>
  <c r="W108" i="27"/>
  <c r="W110" i="27"/>
  <c r="L110" i="27"/>
  <c r="AK110" i="27" s="1"/>
  <c r="AL108" i="27"/>
  <c r="AK109" i="27"/>
  <c r="W107" i="27"/>
  <c r="L107" i="27"/>
  <c r="AK107" i="27" s="1"/>
  <c r="W109" i="27"/>
  <c r="W111" i="27"/>
  <c r="O111" i="27"/>
  <c r="AJ36" i="27"/>
  <c r="AK36" i="27" s="1"/>
  <c r="AJ740" i="27"/>
  <c r="AK740" i="27" s="1"/>
  <c r="Q572" i="27"/>
  <c r="W572" i="27" s="1"/>
  <c r="Q557" i="27"/>
  <c r="W555" i="27"/>
  <c r="W213" i="27"/>
  <c r="O213" i="27"/>
  <c r="W215" i="27"/>
  <c r="W214" i="27"/>
  <c r="W201" i="27"/>
  <c r="O201" i="27"/>
  <c r="L201" i="27" s="1"/>
  <c r="W202" i="27"/>
  <c r="W199" i="27"/>
  <c r="L199" i="27"/>
  <c r="W203" i="27"/>
  <c r="W200" i="27"/>
  <c r="W209" i="27"/>
  <c r="O209" i="27"/>
  <c r="L209" i="27" s="1"/>
  <c r="W206" i="27"/>
  <c r="L205" i="27"/>
  <c r="L207" i="27"/>
  <c r="L204" i="27"/>
  <c r="W210" i="27"/>
  <c r="W211" i="27"/>
  <c r="W312" i="27"/>
  <c r="AJ312" i="27"/>
  <c r="AK312" i="27" s="1"/>
  <c r="O312" i="27"/>
  <c r="AJ460" i="27"/>
  <c r="AK460" i="27" s="1"/>
  <c r="O460" i="27"/>
  <c r="AK507" i="27"/>
  <c r="AJ459" i="27" l="1"/>
  <c r="AK459" i="27" s="1"/>
  <c r="O459" i="27"/>
  <c r="O606" i="27" l="1"/>
  <c r="O613" i="27" l="1"/>
  <c r="O614" i="27"/>
  <c r="W298" i="27"/>
  <c r="C25" i="31"/>
  <c r="C24" i="31"/>
  <c r="L603" i="27"/>
  <c r="L616" i="27"/>
  <c r="Q491" i="27"/>
  <c r="W491" i="27" s="1"/>
  <c r="O612" i="27"/>
  <c r="AJ780" i="27"/>
  <c r="AK780" i="27" s="1"/>
  <c r="O780" i="27"/>
  <c r="AJ506" i="27"/>
  <c r="AK506" i="27" s="1"/>
  <c r="AJ778" i="27"/>
  <c r="AK778" i="27" s="1"/>
  <c r="AJ779" i="27"/>
  <c r="AK779" i="27" s="1"/>
  <c r="O779" i="27"/>
  <c r="O778" i="27"/>
  <c r="O604" i="27"/>
  <c r="AJ777" i="27"/>
  <c r="AK777" i="27" s="1"/>
  <c r="O777" i="27" l="1"/>
  <c r="O776" i="27"/>
  <c r="AJ775" i="27" l="1"/>
  <c r="AL775" i="27" s="1"/>
  <c r="AI775" i="27"/>
  <c r="AK775" i="27" l="1"/>
  <c r="O775" i="27"/>
  <c r="L311" i="27" l="1"/>
  <c r="AK311" i="27" s="1"/>
  <c r="AK498" i="27"/>
  <c r="W498" i="27"/>
  <c r="O498" i="27"/>
  <c r="FD117" i="14" l="1"/>
  <c r="FC117" i="14"/>
  <c r="FB117" i="14"/>
  <c r="FA117" i="14"/>
  <c r="FD116" i="14"/>
  <c r="FC116" i="14"/>
  <c r="FB116" i="14"/>
  <c r="FA116" i="14"/>
  <c r="FD115" i="14"/>
  <c r="FC115" i="14"/>
  <c r="FB115" i="14"/>
  <c r="FA115" i="14"/>
  <c r="FD114" i="14"/>
  <c r="FC114" i="14"/>
  <c r="FB114" i="14"/>
  <c r="FA114" i="14"/>
  <c r="FD113" i="14"/>
  <c r="FC113" i="14"/>
  <c r="FB113" i="14"/>
  <c r="FA113" i="14"/>
  <c r="FD112" i="14"/>
  <c r="FC112" i="14"/>
  <c r="FB112" i="14"/>
  <c r="FA112" i="14"/>
  <c r="FD111" i="14"/>
  <c r="FC111" i="14"/>
  <c r="FB111" i="14"/>
  <c r="FA111" i="14"/>
  <c r="FD108" i="14"/>
  <c r="FC108" i="14"/>
  <c r="FB108" i="14"/>
  <c r="FA108" i="14"/>
  <c r="FD107" i="14"/>
  <c r="FC107" i="14"/>
  <c r="FB107" i="14"/>
  <c r="FA107" i="14"/>
  <c r="FD106" i="14"/>
  <c r="FC106" i="14"/>
  <c r="FB106" i="14"/>
  <c r="FA106" i="14"/>
  <c r="FD105" i="14"/>
  <c r="FC105" i="14"/>
  <c r="FB105" i="14"/>
  <c r="FA105" i="14"/>
  <c r="FD104" i="14"/>
  <c r="FC104" i="14"/>
  <c r="FB104" i="14"/>
  <c r="FA104" i="14"/>
  <c r="FD103" i="14"/>
  <c r="FC103" i="14"/>
  <c r="FB103" i="14"/>
  <c r="FA103" i="14"/>
  <c r="FD102" i="14"/>
  <c r="FC102" i="14"/>
  <c r="FB102" i="14"/>
  <c r="FA102" i="14"/>
  <c r="FD101" i="14"/>
  <c r="FC101" i="14"/>
  <c r="FB101" i="14"/>
  <c r="FA101" i="14"/>
  <c r="FD100" i="14"/>
  <c r="FC100" i="14"/>
  <c r="FB100" i="14"/>
  <c r="FA100" i="14"/>
  <c r="FD99" i="14"/>
  <c r="FC99" i="14"/>
  <c r="FB99" i="14"/>
  <c r="FA99" i="14"/>
  <c r="FD98" i="14"/>
  <c r="FC98" i="14"/>
  <c r="FB98" i="14"/>
  <c r="FA98" i="14"/>
  <c r="FD97" i="14"/>
  <c r="FC97" i="14"/>
  <c r="FB97" i="14"/>
  <c r="FA97" i="14"/>
  <c r="FD96" i="14"/>
  <c r="FC96" i="14"/>
  <c r="FB96" i="14"/>
  <c r="FA96" i="14"/>
  <c r="FD95" i="14"/>
  <c r="FC95" i="14"/>
  <c r="FB95" i="14"/>
  <c r="FA95" i="14"/>
  <c r="FD94" i="14"/>
  <c r="FC94" i="14"/>
  <c r="FB94" i="14"/>
  <c r="FA94" i="14"/>
  <c r="FD93" i="14"/>
  <c r="FC93" i="14"/>
  <c r="FB93" i="14"/>
  <c r="FA93" i="14"/>
  <c r="FD109" i="14"/>
  <c r="FC109" i="14"/>
  <c r="FB109" i="14"/>
  <c r="FA109" i="14"/>
  <c r="FD91" i="14"/>
  <c r="FC91" i="14"/>
  <c r="FB91" i="14"/>
  <c r="FA91" i="14"/>
  <c r="FD90" i="14"/>
  <c r="FC90" i="14"/>
  <c r="FB90" i="14"/>
  <c r="FA90" i="14"/>
  <c r="FX115" i="14" l="1"/>
  <c r="FX117" i="14"/>
  <c r="FX116" i="14"/>
  <c r="FX114" i="14"/>
  <c r="FX113" i="14"/>
  <c r="FX112" i="14"/>
  <c r="FX111" i="14"/>
  <c r="FX108" i="14"/>
  <c r="FX107" i="14"/>
  <c r="FX106" i="14"/>
  <c r="FX105" i="14"/>
  <c r="FX104" i="14"/>
  <c r="FX103" i="14"/>
  <c r="FX102" i="14"/>
  <c r="FX101" i="14"/>
  <c r="FX100" i="14"/>
  <c r="FX99" i="14"/>
  <c r="FX98" i="14"/>
  <c r="FX97" i="14"/>
  <c r="FX96" i="14"/>
  <c r="FX95" i="14"/>
  <c r="FX94" i="14"/>
  <c r="FX93" i="14"/>
  <c r="FX109" i="14"/>
  <c r="FX91" i="14"/>
  <c r="FX90" i="14"/>
  <c r="FD49" i="14"/>
  <c r="FC49" i="14"/>
  <c r="FB49" i="14"/>
  <c r="FA49" i="14"/>
  <c r="FD48" i="14"/>
  <c r="FC48" i="14"/>
  <c r="FB48" i="14"/>
  <c r="FA48" i="14"/>
  <c r="FD47" i="14"/>
  <c r="FC47" i="14"/>
  <c r="FB47" i="14"/>
  <c r="FA47" i="14"/>
  <c r="FD45" i="14"/>
  <c r="FC45" i="14"/>
  <c r="FB45" i="14"/>
  <c r="FA45" i="14"/>
  <c r="FD44" i="14"/>
  <c r="FC44" i="14"/>
  <c r="FB44" i="14"/>
  <c r="FA44" i="14"/>
  <c r="FD43" i="14"/>
  <c r="FC43" i="14"/>
  <c r="FB43" i="14"/>
  <c r="FB41" i="14" s="1"/>
  <c r="FA43" i="14"/>
  <c r="FD40" i="14"/>
  <c r="FC40" i="14"/>
  <c r="FB40" i="14"/>
  <c r="FA40" i="14"/>
  <c r="FD39" i="14"/>
  <c r="FC39" i="14"/>
  <c r="FB39" i="14"/>
  <c r="FA39" i="14"/>
  <c r="FD38" i="14"/>
  <c r="FC38" i="14"/>
  <c r="FB38" i="14"/>
  <c r="FA38" i="14"/>
  <c r="FD37" i="14"/>
  <c r="FC37" i="14"/>
  <c r="FB37" i="14"/>
  <c r="FA37" i="14"/>
  <c r="FD36" i="14"/>
  <c r="FC36" i="14"/>
  <c r="FB36" i="14"/>
  <c r="FA36" i="14"/>
  <c r="FD35" i="14"/>
  <c r="FC35" i="14"/>
  <c r="FB35" i="14"/>
  <c r="FA35" i="14"/>
  <c r="FD34" i="14"/>
  <c r="FC34" i="14"/>
  <c r="FB34" i="14"/>
  <c r="FA34" i="14"/>
  <c r="FD33" i="14"/>
  <c r="FC33" i="14"/>
  <c r="FB33" i="14"/>
  <c r="FA33" i="14"/>
  <c r="FD32" i="14"/>
  <c r="FC32" i="14"/>
  <c r="FB32" i="14"/>
  <c r="FA32" i="14"/>
  <c r="FD30" i="14"/>
  <c r="FC30" i="14"/>
  <c r="FB30" i="14"/>
  <c r="FA30" i="14"/>
  <c r="FD29" i="14"/>
  <c r="FC29" i="14"/>
  <c r="FB29" i="14"/>
  <c r="FA29" i="14"/>
  <c r="BI178" i="14"/>
  <c r="BJ181" i="14" s="1"/>
  <c r="BH178" i="14"/>
  <c r="BG178" i="14"/>
  <c r="BF178" i="14"/>
  <c r="BF181" i="14" s="1"/>
  <c r="BD178" i="14"/>
  <c r="BC178" i="14"/>
  <c r="BB178" i="14"/>
  <c r="BA178" i="14"/>
  <c r="AZ178" i="14"/>
  <c r="AY178" i="14"/>
  <c r="AX178" i="14"/>
  <c r="AW178" i="14"/>
  <c r="CS163" i="14"/>
  <c r="CR163" i="14"/>
  <c r="CQ163" i="14"/>
  <c r="CP163" i="14"/>
  <c r="CO163" i="14"/>
  <c r="CN163" i="14"/>
  <c r="CM163" i="14"/>
  <c r="CL163" i="14"/>
  <c r="CK163" i="14"/>
  <c r="CJ163" i="14"/>
  <c r="CI163" i="14"/>
  <c r="CH163" i="14"/>
  <c r="CS162" i="14"/>
  <c r="CR162" i="14"/>
  <c r="CQ162" i="14"/>
  <c r="CP162" i="14"/>
  <c r="CO162" i="14"/>
  <c r="CN162" i="14"/>
  <c r="CM162" i="14"/>
  <c r="CL162" i="14"/>
  <c r="CK162" i="14"/>
  <c r="CJ162" i="14"/>
  <c r="CI162" i="14"/>
  <c r="CH162" i="14"/>
  <c r="CS161" i="14"/>
  <c r="CR161" i="14"/>
  <c r="CQ161" i="14"/>
  <c r="CP161" i="14"/>
  <c r="CO161" i="14"/>
  <c r="CN161" i="14"/>
  <c r="CM161" i="14"/>
  <c r="CL161" i="14"/>
  <c r="CK161" i="14"/>
  <c r="CJ161" i="14"/>
  <c r="CI161" i="14"/>
  <c r="CH161" i="14"/>
  <c r="CS160" i="14"/>
  <c r="CR160" i="14"/>
  <c r="CQ160" i="14"/>
  <c r="CP160" i="14"/>
  <c r="CO160" i="14"/>
  <c r="CN160" i="14"/>
  <c r="CM160" i="14"/>
  <c r="CL160" i="14"/>
  <c r="CK160" i="14"/>
  <c r="CJ160" i="14"/>
  <c r="CI160" i="14"/>
  <c r="CH160" i="14"/>
  <c r="CS118" i="14"/>
  <c r="CR118" i="14"/>
  <c r="CQ118" i="14"/>
  <c r="CP118" i="14"/>
  <c r="CO118" i="14"/>
  <c r="CN118" i="14"/>
  <c r="CM118" i="14"/>
  <c r="CL118" i="14"/>
  <c r="CK118" i="14"/>
  <c r="CJ118" i="14"/>
  <c r="CI118" i="14"/>
  <c r="CS62" i="14"/>
  <c r="CR62" i="14"/>
  <c r="CQ62" i="14"/>
  <c r="CP62" i="14"/>
  <c r="CO62" i="14"/>
  <c r="CN62" i="14"/>
  <c r="CM62" i="14"/>
  <c r="CL62" i="14"/>
  <c r="CK62" i="14"/>
  <c r="CJ62" i="14"/>
  <c r="CI62" i="14"/>
  <c r="CH62" i="14"/>
  <c r="CS59" i="14"/>
  <c r="CR59" i="14"/>
  <c r="CQ59" i="14"/>
  <c r="CP59" i="14"/>
  <c r="CO59" i="14"/>
  <c r="CN59" i="14"/>
  <c r="CM59" i="14"/>
  <c r="CL59" i="14"/>
  <c r="CK59" i="14"/>
  <c r="CJ59" i="14"/>
  <c r="CI59" i="14"/>
  <c r="CH59" i="14"/>
  <c r="CS31" i="14"/>
  <c r="CR31" i="14"/>
  <c r="CQ31" i="14"/>
  <c r="CP31" i="14"/>
  <c r="CO31" i="14"/>
  <c r="CN31" i="14"/>
  <c r="CM31" i="14"/>
  <c r="CL31" i="14"/>
  <c r="CK31" i="14"/>
  <c r="CJ31" i="14"/>
  <c r="CI31" i="14"/>
  <c r="CH31" i="14"/>
  <c r="CS28" i="14"/>
  <c r="CR28" i="14"/>
  <c r="CQ28" i="14"/>
  <c r="CP28" i="14"/>
  <c r="CO28" i="14"/>
  <c r="CN28" i="14"/>
  <c r="CM28" i="14"/>
  <c r="CL28" i="14"/>
  <c r="CK28" i="14"/>
  <c r="CJ28" i="14"/>
  <c r="CI28" i="14"/>
  <c r="CH28" i="14"/>
  <c r="CS27" i="14"/>
  <c r="CR27" i="14"/>
  <c r="CQ27" i="14"/>
  <c r="CP27" i="14"/>
  <c r="CO27" i="14"/>
  <c r="CN27" i="14"/>
  <c r="CM27" i="14"/>
  <c r="CL27" i="14"/>
  <c r="CK27" i="14"/>
  <c r="CJ27" i="14"/>
  <c r="CI27" i="14"/>
  <c r="CH27" i="14"/>
  <c r="O774" i="27"/>
  <c r="AJ773" i="27"/>
  <c r="AK773" i="27" s="1"/>
  <c r="O773" i="27"/>
  <c r="FA41" i="14" l="1"/>
  <c r="AY181" i="14"/>
  <c r="BC181" i="14"/>
  <c r="BH181" i="14"/>
  <c r="FX38" i="14"/>
  <c r="BE181" i="14"/>
  <c r="BD181" i="14"/>
  <c r="AX181" i="14"/>
  <c r="BB181" i="14"/>
  <c r="BG181" i="14"/>
  <c r="BI181" i="14"/>
  <c r="BA181" i="14"/>
  <c r="AZ181" i="14"/>
  <c r="ED72" i="14"/>
  <c r="FD41" i="14"/>
  <c r="FC41" i="14"/>
  <c r="ED41" i="14"/>
  <c r="CR50" i="14"/>
  <c r="CK81" i="14"/>
  <c r="CK82" i="14" s="1"/>
  <c r="CI81" i="14"/>
  <c r="CI82" i="14" s="1"/>
  <c r="CI50" i="14"/>
  <c r="CO50" i="14"/>
  <c r="FX33" i="14"/>
  <c r="CS50" i="14"/>
  <c r="CS81" i="14"/>
  <c r="CS82" i="14" s="1"/>
  <c r="CO81" i="14"/>
  <c r="CO82" i="14" s="1"/>
  <c r="CM81" i="14"/>
  <c r="CM82" i="14" s="1"/>
  <c r="FX43" i="14"/>
  <c r="CH50" i="14"/>
  <c r="FX37" i="14"/>
  <c r="FX35" i="14"/>
  <c r="CL50" i="14"/>
  <c r="FB118" i="14"/>
  <c r="FB124" i="14" s="1"/>
  <c r="FD118" i="14"/>
  <c r="FD124" i="14" s="1"/>
  <c r="FC118" i="14"/>
  <c r="FC124" i="14" s="1"/>
  <c r="FA118" i="14"/>
  <c r="FA124" i="14" s="1"/>
  <c r="CQ81" i="14"/>
  <c r="CQ82" i="14" s="1"/>
  <c r="CL81" i="14"/>
  <c r="CL82" i="14" s="1"/>
  <c r="CR81" i="14"/>
  <c r="CR82" i="14" s="1"/>
  <c r="CN81" i="14"/>
  <c r="CN82" i="14" s="1"/>
  <c r="CJ81" i="14"/>
  <c r="CJ82" i="14" s="1"/>
  <c r="CP81" i="14"/>
  <c r="CP82" i="14" s="1"/>
  <c r="CH81" i="14"/>
  <c r="CH82" i="14" s="1"/>
  <c r="FX49" i="14"/>
  <c r="FX48" i="14"/>
  <c r="FX47" i="14"/>
  <c r="FX45" i="14"/>
  <c r="FX44" i="14"/>
  <c r="CP50" i="14"/>
  <c r="FX40" i="14"/>
  <c r="CM50" i="14"/>
  <c r="FX39" i="14"/>
  <c r="FX36" i="14"/>
  <c r="FX34" i="14"/>
  <c r="CJ50" i="14"/>
  <c r="FD31" i="14"/>
  <c r="FC31" i="14"/>
  <c r="FB31" i="14"/>
  <c r="FX32" i="14"/>
  <c r="FA31" i="14"/>
  <c r="FX30" i="14"/>
  <c r="FD28" i="14"/>
  <c r="CQ50" i="14"/>
  <c r="FC28" i="14"/>
  <c r="CN50" i="14"/>
  <c r="FB28" i="14"/>
  <c r="CK50" i="14"/>
  <c r="FX29" i="14"/>
  <c r="FA28" i="14"/>
  <c r="AJ469" i="27"/>
  <c r="AK469" i="27" s="1"/>
  <c r="AJ468" i="27"/>
  <c r="AK468" i="27" s="1"/>
  <c r="O468" i="27"/>
  <c r="FA50" i="14" l="1"/>
  <c r="FA52" i="14" s="1"/>
  <c r="FX41" i="14"/>
  <c r="FD50" i="14"/>
  <c r="FD53" i="14" s="1"/>
  <c r="FC50" i="14"/>
  <c r="FC53" i="14" s="1"/>
  <c r="FB50" i="14"/>
  <c r="FC119" i="14"/>
  <c r="FB121" i="14"/>
  <c r="FB122" i="14"/>
  <c r="FB119" i="14"/>
  <c r="FC121" i="14"/>
  <c r="FB123" i="14"/>
  <c r="FB120" i="14"/>
  <c r="FC123" i="14"/>
  <c r="FC120" i="14"/>
  <c r="FC122" i="14"/>
  <c r="FA121" i="14"/>
  <c r="FA119" i="14"/>
  <c r="FA123" i="14"/>
  <c r="FA120" i="14"/>
  <c r="FA122" i="14"/>
  <c r="FD123" i="14"/>
  <c r="FD119" i="14"/>
  <c r="FD122" i="14"/>
  <c r="FX118" i="14"/>
  <c r="FD121" i="14"/>
  <c r="FD120" i="14"/>
  <c r="FX31" i="14"/>
  <c r="FX28" i="14"/>
  <c r="AP14" i="27"/>
  <c r="AP552" i="27"/>
  <c r="FA54" i="14" l="1"/>
  <c r="FA51" i="14"/>
  <c r="FA53" i="14"/>
  <c r="FD52" i="14"/>
  <c r="FC54" i="14"/>
  <c r="FD51" i="14"/>
  <c r="FD54" i="14"/>
  <c r="FC52" i="14"/>
  <c r="FC51" i="14"/>
  <c r="FX50" i="14"/>
  <c r="FB54" i="14"/>
  <c r="FB53" i="14"/>
  <c r="FB52" i="14"/>
  <c r="FB51" i="14"/>
  <c r="O772" i="27"/>
  <c r="AJ185" i="27"/>
  <c r="AL185" i="27" s="1"/>
  <c r="AI185" i="27"/>
  <c r="W297" i="27"/>
  <c r="W294" i="27"/>
  <c r="AK185" i="27" l="1"/>
  <c r="AU179" i="14"/>
  <c r="AV178" i="14" l="1"/>
  <c r="AW181" i="14" s="1"/>
  <c r="O764" i="27"/>
  <c r="O763" i="27"/>
  <c r="W197" i="27"/>
  <c r="L197" i="27"/>
  <c r="W304" i="27" l="1"/>
  <c r="AI482" i="27"/>
  <c r="AL482" i="27"/>
  <c r="AK482" i="27"/>
  <c r="AJ487" i="27"/>
  <c r="AK487" i="27" s="1"/>
  <c r="O766" i="27"/>
  <c r="O490" i="27"/>
  <c r="AJ491" i="27"/>
  <c r="AK491" i="27" s="1"/>
  <c r="O765" i="27"/>
  <c r="W137" i="27" l="1"/>
  <c r="L130" i="27"/>
  <c r="L129" i="27"/>
  <c r="O151" i="27"/>
  <c r="AJ762" i="27"/>
  <c r="AK762" i="27" s="1"/>
  <c r="O762" i="27" l="1"/>
  <c r="AU178" i="14"/>
  <c r="J199" i="5"/>
  <c r="J216" i="5"/>
  <c r="J215" i="5"/>
  <c r="J214" i="5"/>
  <c r="J212" i="5"/>
  <c r="J211" i="5"/>
  <c r="J210" i="5"/>
  <c r="J207" i="5"/>
  <c r="J206" i="5"/>
  <c r="J205" i="5"/>
  <c r="J204" i="5"/>
  <c r="J203" i="5"/>
  <c r="J202" i="5"/>
  <c r="J201" i="5"/>
  <c r="J200" i="5"/>
  <c r="J197" i="5"/>
  <c r="J196" i="5"/>
  <c r="G198" i="5"/>
  <c r="D198" i="5"/>
  <c r="G195" i="5"/>
  <c r="D195" i="5"/>
  <c r="W593" i="27"/>
  <c r="W590" i="27"/>
  <c r="W586" i="27"/>
  <c r="W585" i="27"/>
  <c r="W583" i="27"/>
  <c r="Q570" i="27"/>
  <c r="L570" i="27"/>
  <c r="W290" i="27"/>
  <c r="W567" i="27"/>
  <c r="W601" i="27"/>
  <c r="W600" i="27"/>
  <c r="W599" i="27"/>
  <c r="O599" i="27"/>
  <c r="O600" i="27"/>
  <c r="O598" i="27"/>
  <c r="Q598" i="27"/>
  <c r="W598" i="27" s="1"/>
  <c r="Q591" i="27"/>
  <c r="W591" i="27" s="1"/>
  <c r="W589" i="27"/>
  <c r="Q584" i="27"/>
  <c r="W584" i="27" s="1"/>
  <c r="W569" i="27"/>
  <c r="W566" i="27"/>
  <c r="W565" i="27"/>
  <c r="Q484" i="27"/>
  <c r="W484" i="27" s="1"/>
  <c r="W564" i="27"/>
  <c r="W293" i="27"/>
  <c r="W581" i="27"/>
  <c r="W588" i="27"/>
  <c r="W592" i="27"/>
  <c r="W594" i="27"/>
  <c r="W595" i="27"/>
  <c r="J208" i="5" l="1"/>
  <c r="J195" i="5"/>
  <c r="AV181" i="14"/>
  <c r="J198" i="5"/>
  <c r="D217" i="5"/>
  <c r="G217" i="5"/>
  <c r="Q596" i="27"/>
  <c r="J217" i="5" l="1"/>
  <c r="W596" i="27"/>
  <c r="W597" i="27"/>
  <c r="AJ184" i="27"/>
  <c r="O184" i="27"/>
  <c r="AH184" i="27"/>
  <c r="AI184" i="27" s="1"/>
  <c r="AJ758" i="27"/>
  <c r="AK758" i="27" s="1"/>
  <c r="O758" i="27"/>
  <c r="AJ599" i="27"/>
  <c r="AK599" i="27" s="1"/>
  <c r="W587" i="27"/>
  <c r="AJ182" i="27"/>
  <c r="AK182" i="27" s="1"/>
  <c r="AL184" i="27" l="1"/>
  <c r="AK184" i="27"/>
  <c r="AT178" i="14"/>
  <c r="AU181" i="14" s="1"/>
  <c r="D162" i="5"/>
  <c r="O504" i="27" l="1"/>
  <c r="L592" i="27"/>
  <c r="O593" i="27" l="1"/>
  <c r="AH589" i="27" l="1"/>
  <c r="L589" i="27"/>
  <c r="O591" i="27"/>
  <c r="O587" i="27" l="1"/>
  <c r="O586" i="27" l="1"/>
  <c r="O588" i="27"/>
  <c r="O590" i="27"/>
  <c r="O597" i="27"/>
  <c r="O595" i="27"/>
  <c r="O596" i="27"/>
  <c r="O594" i="27"/>
  <c r="O601" i="27" l="1"/>
  <c r="W32" i="27"/>
  <c r="W582" i="27"/>
  <c r="Q558" i="27"/>
  <c r="O553" i="27"/>
  <c r="W22" i="27"/>
  <c r="W14" i="27"/>
  <c r="W130" i="27"/>
  <c r="W129" i="27"/>
  <c r="W309" i="27" l="1"/>
  <c r="W303" i="27"/>
  <c r="W295" i="27"/>
  <c r="W286" i="27"/>
  <c r="AJ179" i="27"/>
  <c r="AK179" i="27" s="1"/>
  <c r="AH179" i="27"/>
  <c r="AI179" i="27" s="1"/>
  <c r="O179" i="27"/>
  <c r="AL179" i="27" l="1"/>
  <c r="AR179" i="14"/>
  <c r="AS179" i="14"/>
  <c r="AS178" i="14"/>
  <c r="AT181" i="14" s="1"/>
  <c r="O317" i="27" l="1"/>
  <c r="W580" i="27"/>
  <c r="Q579" i="27"/>
  <c r="W579" i="27" s="1"/>
  <c r="W577" i="27"/>
  <c r="W575" i="27"/>
  <c r="W574" i="27"/>
  <c r="W576" i="27"/>
  <c r="Q573" i="27"/>
  <c r="W573" i="27" s="1"/>
  <c r="W571" i="27"/>
  <c r="W563" i="27"/>
  <c r="W570" i="27" l="1"/>
  <c r="L581" i="27"/>
  <c r="AH584" i="27"/>
  <c r="L584" i="27" l="1"/>
  <c r="AR178" i="14" l="1"/>
  <c r="AS181" i="14" s="1"/>
  <c r="W178" i="27" l="1"/>
  <c r="W196" i="27"/>
  <c r="W578" i="27"/>
  <c r="W306" i="27"/>
  <c r="W305" i="27"/>
  <c r="AQ179" i="14" l="1"/>
  <c r="W144" i="27"/>
  <c r="W143" i="27"/>
  <c r="C62" i="31" l="1"/>
  <c r="L577" i="27"/>
  <c r="AH456" i="27"/>
  <c r="O456" i="27"/>
  <c r="T54" i="5" l="1"/>
  <c r="AD20" i="5" s="1"/>
  <c r="S54" i="5"/>
  <c r="T53" i="5"/>
  <c r="AD34" i="5" s="1"/>
  <c r="S53" i="5"/>
  <c r="T52" i="5"/>
  <c r="AD41" i="5" s="1"/>
  <c r="S52" i="5"/>
  <c r="T51" i="5"/>
  <c r="AD37" i="5" s="1"/>
  <c r="S51" i="5"/>
  <c r="T50" i="5"/>
  <c r="S50" i="5"/>
  <c r="T49" i="5"/>
  <c r="AD29" i="5" s="1"/>
  <c r="S49" i="5"/>
  <c r="T48" i="5"/>
  <c r="AD19" i="5" s="1"/>
  <c r="S48" i="5"/>
  <c r="T45" i="5"/>
  <c r="AD17" i="5" s="1"/>
  <c r="S45" i="5"/>
  <c r="T44" i="5"/>
  <c r="AD24" i="5" s="1"/>
  <c r="S44" i="5"/>
  <c r="T43" i="5"/>
  <c r="AD33" i="5" s="1"/>
  <c r="S43" i="5"/>
  <c r="T42" i="5"/>
  <c r="AD31" i="5" s="1"/>
  <c r="S42" i="5"/>
  <c r="T41" i="5"/>
  <c r="AD15" i="5" s="1"/>
  <c r="S41" i="5"/>
  <c r="T40" i="5"/>
  <c r="AD25" i="5" s="1"/>
  <c r="S40" i="5"/>
  <c r="T39" i="5"/>
  <c r="AD22" i="5" s="1"/>
  <c r="S39" i="5"/>
  <c r="T38" i="5"/>
  <c r="AD26" i="5" s="1"/>
  <c r="S38" i="5"/>
  <c r="T37" i="5"/>
  <c r="AD30" i="5" s="1"/>
  <c r="S37" i="5"/>
  <c r="T36" i="5"/>
  <c r="AD16" i="5" s="1"/>
  <c r="S36" i="5"/>
  <c r="T35" i="5"/>
  <c r="AD36" i="5" s="1"/>
  <c r="S35" i="5"/>
  <c r="T34" i="5"/>
  <c r="AD18" i="5" s="1"/>
  <c r="S34" i="5"/>
  <c r="T33" i="5"/>
  <c r="AD23" i="5" s="1"/>
  <c r="S33" i="5"/>
  <c r="T32" i="5"/>
  <c r="AD38" i="5" s="1"/>
  <c r="S32" i="5"/>
  <c r="T31" i="5"/>
  <c r="AD32" i="5" s="1"/>
  <c r="S31" i="5"/>
  <c r="T30" i="5"/>
  <c r="AD21" i="5" s="1"/>
  <c r="S30" i="5"/>
  <c r="T46" i="5"/>
  <c r="AD28" i="5" s="1"/>
  <c r="S46" i="5"/>
  <c r="T28" i="5"/>
  <c r="AD27" i="5" s="1"/>
  <c r="S28" i="5"/>
  <c r="T27" i="5"/>
  <c r="S27" i="5"/>
  <c r="R55" i="5"/>
  <c r="Q55" i="5"/>
  <c r="AI181" i="14"/>
  <c r="AH181" i="14"/>
  <c r="AG181" i="14"/>
  <c r="AF181" i="14"/>
  <c r="AE181" i="14"/>
  <c r="AD181" i="14"/>
  <c r="AC181" i="14"/>
  <c r="AB181" i="14"/>
  <c r="AA181" i="14"/>
  <c r="Z181" i="14"/>
  <c r="Y181" i="14"/>
  <c r="X181" i="14"/>
  <c r="W181" i="14"/>
  <c r="V181" i="14"/>
  <c r="U181" i="14"/>
  <c r="T181" i="14"/>
  <c r="S181" i="14"/>
  <c r="R181" i="14"/>
  <c r="Q181" i="14"/>
  <c r="P181" i="14"/>
  <c r="O181" i="14"/>
  <c r="N181" i="14"/>
  <c r="AQ178" i="14"/>
  <c r="AR181" i="14" s="1"/>
  <c r="W126" i="27"/>
  <c r="W125" i="27"/>
  <c r="AD35" i="5" l="1"/>
  <c r="AD48" i="5" s="1"/>
  <c r="AD45" i="5"/>
  <c r="AD42" i="5"/>
  <c r="AJ576" i="27"/>
  <c r="L576" i="27"/>
  <c r="AE39" i="5" l="1"/>
  <c r="AE40" i="5"/>
  <c r="AK576" i="27"/>
  <c r="L215" i="27"/>
  <c r="AJ757" i="27"/>
  <c r="AK757" i="27" s="1"/>
  <c r="O757" i="27"/>
  <c r="AJ756" i="27"/>
  <c r="AK756" i="27" s="1"/>
  <c r="O756" i="27"/>
  <c r="AJ755" i="27"/>
  <c r="AK755" i="27" s="1"/>
  <c r="O755" i="27" l="1"/>
  <c r="AJ177" i="27"/>
  <c r="AK177" i="27" s="1"/>
  <c r="O301" i="27" l="1"/>
  <c r="O309" i="27"/>
  <c r="L303" i="27"/>
  <c r="O302" i="27"/>
  <c r="AJ333" i="27"/>
  <c r="AK333" i="27" s="1"/>
  <c r="O333" i="27"/>
  <c r="AZ12" i="25"/>
  <c r="BA12" i="25"/>
  <c r="AY12" i="25"/>
  <c r="BA10" i="25"/>
  <c r="AZ10" i="25"/>
  <c r="AY10" i="25"/>
  <c r="BA11" i="25"/>
  <c r="AZ11" i="25"/>
  <c r="AY11" i="25"/>
  <c r="AU28" i="25"/>
  <c r="AT28" i="25"/>
  <c r="AS28" i="25"/>
  <c r="AU27" i="25"/>
  <c r="AT27" i="25"/>
  <c r="AS27" i="25"/>
  <c r="AU30" i="25"/>
  <c r="AT30" i="25"/>
  <c r="AS30" i="25"/>
  <c r="AT26" i="25"/>
  <c r="AS26" i="25"/>
  <c r="AU26" i="25"/>
  <c r="AO8" i="25"/>
  <c r="AU13" i="25"/>
  <c r="AT13" i="25"/>
  <c r="AU12" i="25"/>
  <c r="AT12" i="25"/>
  <c r="AS12" i="25"/>
  <c r="AS13" i="25"/>
  <c r="AP178" i="14"/>
  <c r="AQ181" i="14" s="1"/>
  <c r="O361" i="27"/>
  <c r="L113" i="27" l="1"/>
  <c r="L307" i="27"/>
  <c r="AK307" i="27" s="1"/>
  <c r="O300" i="27"/>
  <c r="W307" i="27"/>
  <c r="O214" i="27"/>
  <c r="AI214" i="27" l="1"/>
  <c r="AO178" i="14"/>
  <c r="W128" i="27"/>
  <c r="Q549" i="27"/>
  <c r="Q548" i="27"/>
  <c r="L575" i="27"/>
  <c r="AP181" i="14" l="1"/>
  <c r="M139" i="27"/>
  <c r="L139" i="27"/>
  <c r="AH579" i="27"/>
  <c r="AI579" i="27" s="1"/>
  <c r="L579" i="27"/>
  <c r="L573" i="27"/>
  <c r="L572" i="27"/>
  <c r="L571" i="27"/>
  <c r="L574" i="27"/>
  <c r="W474" i="27"/>
  <c r="W176" i="27"/>
  <c r="O180" i="14"/>
  <c r="S180" i="14"/>
  <c r="T180" i="14"/>
  <c r="Y180" i="14"/>
  <c r="X180" i="14"/>
  <c r="W180" i="14"/>
  <c r="V180" i="14"/>
  <c r="U180" i="14"/>
  <c r="R180" i="14"/>
  <c r="Q180" i="14"/>
  <c r="P180" i="14"/>
  <c r="N180" i="14"/>
  <c r="AB180" i="14"/>
  <c r="AE180" i="14" l="1"/>
  <c r="AF180" i="14" l="1"/>
  <c r="AG180" i="14" l="1"/>
  <c r="AD180" i="14"/>
  <c r="AC180" i="14"/>
  <c r="AA180" i="14"/>
  <c r="Z180" i="14"/>
  <c r="AH180" i="14" l="1"/>
  <c r="AI180" i="14" l="1"/>
  <c r="AM178" i="14"/>
  <c r="AL178" i="14"/>
  <c r="AK178" i="14"/>
  <c r="AJ178" i="14"/>
  <c r="AJ181" i="14" s="1"/>
  <c r="AK181" i="14" l="1"/>
  <c r="AM181" i="14"/>
  <c r="AL181" i="14"/>
  <c r="AN178" i="14"/>
  <c r="AN181" i="14" l="1"/>
  <c r="AO181" i="14"/>
  <c r="W476" i="27"/>
  <c r="L55" i="5"/>
  <c r="W120" i="27" l="1"/>
  <c r="W121" i="27"/>
  <c r="T55" i="5"/>
  <c r="S55" i="5"/>
  <c r="N55" i="5"/>
  <c r="L254" i="27"/>
  <c r="AI254" i="27"/>
  <c r="L253" i="27"/>
  <c r="AH253" i="27"/>
  <c r="AI253" i="27" s="1"/>
  <c r="Q103" i="27"/>
  <c r="Q102" i="27"/>
  <c r="W102" i="27" s="1"/>
  <c r="O102" i="27"/>
  <c r="Q101" i="27"/>
  <c r="W101" i="27" s="1"/>
  <c r="Q100" i="27"/>
  <c r="W100" i="27" s="1"/>
  <c r="Q99" i="27"/>
  <c r="W99" i="27" s="1"/>
  <c r="O99" i="27"/>
  <c r="Q98" i="27"/>
  <c r="W98" i="27" s="1"/>
  <c r="W103" i="27"/>
  <c r="O103" i="27"/>
  <c r="O101" i="27"/>
  <c r="O100" i="27"/>
  <c r="O98" i="27"/>
  <c r="Q97" i="27"/>
  <c r="W97" i="27" s="1"/>
  <c r="O97" i="27"/>
  <c r="Q96" i="27"/>
  <c r="W96" i="27" s="1"/>
  <c r="O96" i="27"/>
  <c r="O95" i="27"/>
  <c r="Q95" i="27"/>
  <c r="W95" i="27" s="1"/>
  <c r="O94" i="27"/>
  <c r="Q94" i="27"/>
  <c r="W94" i="27" s="1"/>
  <c r="W239" i="27"/>
  <c r="O239" i="27"/>
  <c r="W485" i="27"/>
  <c r="AH252" i="27"/>
  <c r="AI252" i="27" s="1"/>
  <c r="AJ299" i="27"/>
  <c r="L299" i="27" l="1"/>
  <c r="AK299" i="27" s="1"/>
  <c r="L298" i="27"/>
  <c r="L297" i="27"/>
  <c r="AJ296" i="27"/>
  <c r="L296" i="27"/>
  <c r="Q93" i="27"/>
  <c r="W93" i="27" s="1"/>
  <c r="Q92" i="27"/>
  <c r="W92" i="27" s="1"/>
  <c r="Q91" i="27"/>
  <c r="W91" i="27" s="1"/>
  <c r="O93" i="27"/>
  <c r="O92" i="27"/>
  <c r="O91" i="27"/>
  <c r="AK296" i="27" l="1"/>
  <c r="W561" i="27"/>
  <c r="W562" i="27"/>
  <c r="L295" i="27"/>
  <c r="L293" i="27"/>
  <c r="L292" i="27"/>
  <c r="AJ291" i="27"/>
  <c r="L291" i="27"/>
  <c r="AJ290" i="27"/>
  <c r="L290" i="27"/>
  <c r="W289" i="27"/>
  <c r="AK290" i="27" l="1"/>
  <c r="AK291" i="27"/>
  <c r="L289" i="27" l="1"/>
  <c r="AK289" i="27" s="1"/>
  <c r="AJ475" i="27"/>
  <c r="AK475" i="27" s="1"/>
  <c r="AL475" i="27" l="1"/>
  <c r="W475" i="27"/>
  <c r="AJ473" i="27"/>
  <c r="AL473" i="27" s="1"/>
  <c r="O84" i="27"/>
  <c r="W84" i="27"/>
  <c r="W85" i="27"/>
  <c r="O85" i="27"/>
  <c r="O86" i="27"/>
  <c r="W86" i="27"/>
  <c r="W87" i="27"/>
  <c r="O87" i="27"/>
  <c r="O88" i="27"/>
  <c r="W88" i="27"/>
  <c r="L569" i="27"/>
  <c r="O568" i="27" l="1"/>
  <c r="L567" i="27"/>
  <c r="AJ567" i="27"/>
  <c r="L566" i="27"/>
  <c r="AJ565" i="27"/>
  <c r="L565" i="27"/>
  <c r="AI565" i="27"/>
  <c r="L564" i="27"/>
  <c r="AJ563" i="27"/>
  <c r="L563" i="27"/>
  <c r="AK563" i="27" l="1"/>
  <c r="AK565" i="27"/>
  <c r="AL565" i="27"/>
  <c r="AK567" i="27"/>
  <c r="L251" i="27"/>
  <c r="W122" i="27"/>
  <c r="W90" i="27"/>
  <c r="L90" i="27"/>
  <c r="AH117" i="27"/>
  <c r="AI117" i="27" s="1"/>
  <c r="W486" i="27"/>
  <c r="AI115" i="27"/>
  <c r="O115" i="27"/>
  <c r="L138" i="27"/>
  <c r="AI116" i="27"/>
  <c r="L136" i="27"/>
  <c r="W241" i="27" l="1"/>
  <c r="Q163" i="27"/>
  <c r="W163" i="27" s="1"/>
  <c r="W162" i="27"/>
  <c r="W159" i="27"/>
  <c r="W158" i="27"/>
  <c r="W157" i="27"/>
  <c r="W156" i="27"/>
  <c r="W155" i="27"/>
  <c r="W131" i="27"/>
  <c r="W559" i="27"/>
  <c r="W558" i="27"/>
  <c r="W557" i="27"/>
  <c r="W556" i="27"/>
  <c r="AJ183" i="27"/>
  <c r="O183" i="27"/>
  <c r="AH183" i="27"/>
  <c r="AI183" i="27" s="1"/>
  <c r="AJ328" i="27"/>
  <c r="L328" i="27"/>
  <c r="P28" i="29"/>
  <c r="W479" i="27"/>
  <c r="W288" i="27"/>
  <c r="W287" i="27"/>
  <c r="L340" i="27"/>
  <c r="L34" i="27"/>
  <c r="AH34" i="27"/>
  <c r="AI34" i="27" s="1"/>
  <c r="L33" i="27"/>
  <c r="L32" i="27"/>
  <c r="AL183" i="27" l="1"/>
  <c r="AK328" i="27"/>
  <c r="AK183" i="27"/>
  <c r="AH562" i="27"/>
  <c r="L562" i="27"/>
  <c r="L561" i="27" l="1"/>
  <c r="AH561" i="27"/>
  <c r="L249" i="27" l="1"/>
  <c r="AH250" i="27"/>
  <c r="AI250" i="27" s="1"/>
  <c r="AH249" i="27"/>
  <c r="AI249" i="27" s="1"/>
  <c r="L288" i="27" l="1"/>
  <c r="L286" i="27"/>
  <c r="P26" i="29"/>
  <c r="EZ117" i="14" l="1"/>
  <c r="EY117" i="14"/>
  <c r="EX117" i="14"/>
  <c r="EW117" i="14"/>
  <c r="EZ116" i="14"/>
  <c r="EY116" i="14"/>
  <c r="EX116" i="14"/>
  <c r="EW116" i="14"/>
  <c r="EZ115" i="14"/>
  <c r="EY115" i="14"/>
  <c r="EX115" i="14"/>
  <c r="EW115" i="14"/>
  <c r="EZ114" i="14"/>
  <c r="EY114" i="14"/>
  <c r="EX114" i="14"/>
  <c r="EW114" i="14"/>
  <c r="EZ113" i="14"/>
  <c r="EY113" i="14"/>
  <c r="EX113" i="14"/>
  <c r="EW113" i="14"/>
  <c r="EZ112" i="14"/>
  <c r="EY112" i="14"/>
  <c r="EX112" i="14"/>
  <c r="EW112" i="14"/>
  <c r="EZ111" i="14"/>
  <c r="EY111" i="14"/>
  <c r="EX111" i="14"/>
  <c r="EW111" i="14"/>
  <c r="EZ108" i="14"/>
  <c r="EY108" i="14"/>
  <c r="EX108" i="14"/>
  <c r="EW108" i="14"/>
  <c r="EZ107" i="14"/>
  <c r="EY107" i="14"/>
  <c r="EX107" i="14"/>
  <c r="EW107" i="14"/>
  <c r="EZ106" i="14"/>
  <c r="EY106" i="14"/>
  <c r="EX106" i="14"/>
  <c r="EW106" i="14"/>
  <c r="EZ105" i="14"/>
  <c r="EY105" i="14"/>
  <c r="EX105" i="14"/>
  <c r="EW105" i="14"/>
  <c r="EZ104" i="14"/>
  <c r="EY104" i="14"/>
  <c r="EX104" i="14"/>
  <c r="EW104" i="14"/>
  <c r="EZ103" i="14"/>
  <c r="EY103" i="14"/>
  <c r="EX103" i="14"/>
  <c r="EW103" i="14"/>
  <c r="EZ102" i="14"/>
  <c r="EY102" i="14"/>
  <c r="EX102" i="14"/>
  <c r="EW102" i="14"/>
  <c r="EZ101" i="14"/>
  <c r="EY101" i="14"/>
  <c r="EX101" i="14"/>
  <c r="EW101" i="14"/>
  <c r="EZ100" i="14"/>
  <c r="EY100" i="14"/>
  <c r="EX100" i="14"/>
  <c r="EW100" i="14"/>
  <c r="EZ99" i="14"/>
  <c r="EY99" i="14"/>
  <c r="EX99" i="14"/>
  <c r="EW99" i="14"/>
  <c r="EZ98" i="14"/>
  <c r="EY98" i="14"/>
  <c r="EX98" i="14"/>
  <c r="EW98" i="14"/>
  <c r="EZ97" i="14"/>
  <c r="EY97" i="14"/>
  <c r="EX97" i="14"/>
  <c r="EW97" i="14"/>
  <c r="EZ96" i="14"/>
  <c r="EY96" i="14"/>
  <c r="EX96" i="14"/>
  <c r="EW96" i="14"/>
  <c r="EZ95" i="14"/>
  <c r="EY95" i="14"/>
  <c r="EX95" i="14"/>
  <c r="EW95" i="14"/>
  <c r="EZ94" i="14"/>
  <c r="EY94" i="14"/>
  <c r="EX94" i="14"/>
  <c r="EW94" i="14"/>
  <c r="EZ93" i="14"/>
  <c r="EY93" i="14"/>
  <c r="EX93" i="14"/>
  <c r="EW93" i="14"/>
  <c r="EZ109" i="14"/>
  <c r="EY109" i="14"/>
  <c r="EX109" i="14"/>
  <c r="EW109" i="14"/>
  <c r="EZ91" i="14"/>
  <c r="EY91" i="14"/>
  <c r="EX91" i="14"/>
  <c r="EW91" i="14"/>
  <c r="EZ90" i="14"/>
  <c r="EY90" i="14"/>
  <c r="EX90" i="14"/>
  <c r="EW90" i="14"/>
  <c r="EZ49" i="14"/>
  <c r="EZ48" i="14"/>
  <c r="EZ47" i="14"/>
  <c r="EZ45" i="14"/>
  <c r="EZ44" i="14"/>
  <c r="EZ43" i="14"/>
  <c r="EZ40" i="14"/>
  <c r="EZ39" i="14"/>
  <c r="EZ38" i="14"/>
  <c r="EZ37" i="14"/>
  <c r="EZ36" i="14"/>
  <c r="EZ35" i="14"/>
  <c r="EZ34" i="14"/>
  <c r="EZ33" i="14"/>
  <c r="EZ32" i="14"/>
  <c r="EZ30" i="14"/>
  <c r="EZ29" i="14"/>
  <c r="EY49" i="14"/>
  <c r="EY48" i="14"/>
  <c r="EY47" i="14"/>
  <c r="EY45" i="14"/>
  <c r="EY44" i="14"/>
  <c r="EY43" i="14"/>
  <c r="EY40" i="14"/>
  <c r="EY39" i="14"/>
  <c r="EY38" i="14"/>
  <c r="EY37" i="14"/>
  <c r="EY36" i="14"/>
  <c r="EY35" i="14"/>
  <c r="EY34" i="14"/>
  <c r="EY33" i="14"/>
  <c r="EY32" i="14"/>
  <c r="EY30" i="14"/>
  <c r="EY29" i="14"/>
  <c r="EX49" i="14"/>
  <c r="EX48" i="14"/>
  <c r="EX47" i="14"/>
  <c r="EX45" i="14"/>
  <c r="EX44" i="14"/>
  <c r="EX43" i="14"/>
  <c r="EX40" i="14"/>
  <c r="EX39" i="14"/>
  <c r="EX38" i="14"/>
  <c r="EX37" i="14"/>
  <c r="EX36" i="14"/>
  <c r="EX35" i="14"/>
  <c r="EX34" i="14"/>
  <c r="EX33" i="14"/>
  <c r="EX32" i="14"/>
  <c r="EX30" i="14"/>
  <c r="EX29" i="14"/>
  <c r="EW49" i="14"/>
  <c r="EW48" i="14"/>
  <c r="EW47" i="14"/>
  <c r="EW45" i="14"/>
  <c r="EW44" i="14"/>
  <c r="EW43" i="14"/>
  <c r="EW40" i="14"/>
  <c r="EW39" i="14"/>
  <c r="EW38" i="14"/>
  <c r="EW37" i="14"/>
  <c r="EW36" i="14"/>
  <c r="EW35" i="14"/>
  <c r="EW34" i="14"/>
  <c r="EW33" i="14"/>
  <c r="EW32" i="14"/>
  <c r="EW30" i="14"/>
  <c r="EW29" i="14"/>
  <c r="CG163" i="14"/>
  <c r="CF163" i="14"/>
  <c r="CE163" i="14"/>
  <c r="CD163" i="14"/>
  <c r="CC163" i="14"/>
  <c r="CB163" i="14"/>
  <c r="CA163" i="14"/>
  <c r="BZ163" i="14"/>
  <c r="BY163" i="14"/>
  <c r="BX163" i="14"/>
  <c r="BW163" i="14"/>
  <c r="BV163" i="14"/>
  <c r="CG162" i="14"/>
  <c r="CF162" i="14"/>
  <c r="CE162" i="14"/>
  <c r="CD162" i="14"/>
  <c r="CC162" i="14"/>
  <c r="CB162" i="14"/>
  <c r="CA162" i="14"/>
  <c r="BZ162" i="14"/>
  <c r="BY162" i="14"/>
  <c r="BX162" i="14"/>
  <c r="BW162" i="14"/>
  <c r="BV162" i="14"/>
  <c r="CG161" i="14"/>
  <c r="CF161" i="14"/>
  <c r="CE161" i="14"/>
  <c r="CD161" i="14"/>
  <c r="CC161" i="14"/>
  <c r="CB161" i="14"/>
  <c r="CA161" i="14"/>
  <c r="BZ161" i="14"/>
  <c r="BY161" i="14"/>
  <c r="BX161" i="14"/>
  <c r="BW161" i="14"/>
  <c r="BV161" i="14"/>
  <c r="CG160" i="14"/>
  <c r="CF160" i="14"/>
  <c r="CE160" i="14"/>
  <c r="CD160" i="14"/>
  <c r="CC160" i="14"/>
  <c r="CB160" i="14"/>
  <c r="CA160" i="14"/>
  <c r="BZ160" i="14"/>
  <c r="BY160" i="14"/>
  <c r="BX160" i="14"/>
  <c r="BW160" i="14"/>
  <c r="BV160" i="14"/>
  <c r="CG158" i="14"/>
  <c r="CF158" i="14"/>
  <c r="CE158" i="14"/>
  <c r="CD158" i="14"/>
  <c r="CC158" i="14"/>
  <c r="CB158" i="14"/>
  <c r="CA158" i="14"/>
  <c r="BZ158" i="14"/>
  <c r="BY158" i="14"/>
  <c r="BX158" i="14"/>
  <c r="BW158" i="14"/>
  <c r="BV158" i="14"/>
  <c r="CG129" i="14"/>
  <c r="CF129" i="14"/>
  <c r="CE129" i="14"/>
  <c r="CD129" i="14"/>
  <c r="CC129" i="14"/>
  <c r="CB129" i="14"/>
  <c r="CA129" i="14"/>
  <c r="BZ129" i="14"/>
  <c r="BY129" i="14"/>
  <c r="BX129" i="14"/>
  <c r="BW129" i="14"/>
  <c r="BV129" i="14"/>
  <c r="CG123" i="14"/>
  <c r="CF123" i="14"/>
  <c r="CE123" i="14"/>
  <c r="CD123" i="14"/>
  <c r="CC123" i="14"/>
  <c r="CB123" i="14"/>
  <c r="CA123" i="14"/>
  <c r="BZ123" i="14"/>
  <c r="BY123" i="14"/>
  <c r="BX123" i="14"/>
  <c r="BW123" i="14"/>
  <c r="BV123" i="14"/>
  <c r="CG122" i="14"/>
  <c r="CF122" i="14"/>
  <c r="CE122" i="14"/>
  <c r="CD122" i="14"/>
  <c r="CC122" i="14"/>
  <c r="CB122" i="14"/>
  <c r="CA122" i="14"/>
  <c r="BZ122" i="14"/>
  <c r="BY122" i="14"/>
  <c r="BX122" i="14"/>
  <c r="BW122" i="14"/>
  <c r="BV122" i="14"/>
  <c r="CG121" i="14"/>
  <c r="CF121" i="14"/>
  <c r="CE121" i="14"/>
  <c r="CD121" i="14"/>
  <c r="CC121" i="14"/>
  <c r="CB121" i="14"/>
  <c r="CA121" i="14"/>
  <c r="BZ121" i="14"/>
  <c r="BY121" i="14"/>
  <c r="BX121" i="14"/>
  <c r="BW121" i="14"/>
  <c r="BV121" i="14"/>
  <c r="CG120" i="14"/>
  <c r="CF120" i="14"/>
  <c r="CE120" i="14"/>
  <c r="CD120" i="14"/>
  <c r="CC120" i="14"/>
  <c r="CB120" i="14"/>
  <c r="CA120" i="14"/>
  <c r="BZ120" i="14"/>
  <c r="BY120" i="14"/>
  <c r="BX120" i="14"/>
  <c r="BW120" i="14"/>
  <c r="BV120" i="14"/>
  <c r="CG118" i="14"/>
  <c r="CF118" i="14"/>
  <c r="CE118" i="14"/>
  <c r="CD118" i="14"/>
  <c r="CC118" i="14"/>
  <c r="CB118" i="14"/>
  <c r="CA118" i="14"/>
  <c r="BZ118" i="14"/>
  <c r="BY118" i="14"/>
  <c r="BX118" i="14"/>
  <c r="BW118" i="14"/>
  <c r="BV118" i="14"/>
  <c r="CG89" i="14"/>
  <c r="CF89" i="14"/>
  <c r="CE89" i="14"/>
  <c r="CD89" i="14"/>
  <c r="CC89" i="14"/>
  <c r="CB89" i="14"/>
  <c r="CA89" i="14"/>
  <c r="BZ89" i="14"/>
  <c r="BY89" i="14"/>
  <c r="BX89" i="14"/>
  <c r="BW89" i="14"/>
  <c r="BV89" i="14"/>
  <c r="CG62" i="14"/>
  <c r="CF62" i="14"/>
  <c r="CE62" i="14"/>
  <c r="CD62" i="14"/>
  <c r="CC62" i="14"/>
  <c r="CB62" i="14"/>
  <c r="CA62" i="14"/>
  <c r="BZ62" i="14"/>
  <c r="BY62" i="14"/>
  <c r="BX62" i="14"/>
  <c r="BW62" i="14"/>
  <c r="BV62" i="14"/>
  <c r="CG59" i="14"/>
  <c r="CF59" i="14"/>
  <c r="CE59" i="14"/>
  <c r="CD59" i="14"/>
  <c r="CC59" i="14"/>
  <c r="CB59" i="14"/>
  <c r="CA59" i="14"/>
  <c r="BZ59" i="14"/>
  <c r="BY59" i="14"/>
  <c r="BX59" i="14"/>
  <c r="BW59" i="14"/>
  <c r="BV59" i="14"/>
  <c r="CG58" i="14"/>
  <c r="CF58" i="14"/>
  <c r="CE58" i="14"/>
  <c r="CD58" i="14"/>
  <c r="CC58" i="14"/>
  <c r="CB58" i="14"/>
  <c r="CA58" i="14"/>
  <c r="BZ58" i="14"/>
  <c r="BY58" i="14"/>
  <c r="BX58" i="14"/>
  <c r="BW58" i="14"/>
  <c r="BV58" i="14"/>
  <c r="FW38" i="14" l="1"/>
  <c r="EZ41" i="14"/>
  <c r="EX41" i="14"/>
  <c r="EW41" i="14"/>
  <c r="EY41" i="14"/>
  <c r="BY81" i="14"/>
  <c r="BY82" i="14" s="1"/>
  <c r="CE81" i="14"/>
  <c r="CE82" i="14" s="1"/>
  <c r="CG81" i="14"/>
  <c r="CG82" i="14" s="1"/>
  <c r="BW81" i="14"/>
  <c r="BW82" i="14" s="1"/>
  <c r="FW45" i="14"/>
  <c r="FW43" i="14"/>
  <c r="FW33" i="14"/>
  <c r="FW37" i="14"/>
  <c r="CC81" i="14"/>
  <c r="CC82" i="14" s="1"/>
  <c r="FW35" i="14"/>
  <c r="FW39" i="14"/>
  <c r="FW108" i="14"/>
  <c r="FW104" i="14"/>
  <c r="FW102" i="14"/>
  <c r="FW100" i="14"/>
  <c r="FW98" i="14"/>
  <c r="FW96" i="14"/>
  <c r="FW94" i="14"/>
  <c r="FW109" i="14"/>
  <c r="CF81" i="14"/>
  <c r="CF82" i="14" s="1"/>
  <c r="CD81" i="14"/>
  <c r="CD82" i="14" s="1"/>
  <c r="CB81" i="14"/>
  <c r="CB82" i="14" s="1"/>
  <c r="BZ81" i="14"/>
  <c r="BZ82" i="14" s="1"/>
  <c r="BX81" i="14"/>
  <c r="BX82" i="14" s="1"/>
  <c r="BV81" i="14"/>
  <c r="BV82" i="14" s="1"/>
  <c r="FW49" i="14"/>
  <c r="FW47" i="14"/>
  <c r="FW44" i="14"/>
  <c r="FW40" i="14"/>
  <c r="FW36" i="14"/>
  <c r="FW34" i="14"/>
  <c r="FW117" i="14"/>
  <c r="FW116" i="14"/>
  <c r="FW115" i="14"/>
  <c r="FW114" i="14"/>
  <c r="FW113" i="14"/>
  <c r="FW112" i="14"/>
  <c r="FW111" i="14"/>
  <c r="FW107" i="14"/>
  <c r="FW106" i="14"/>
  <c r="FW105" i="14"/>
  <c r="FW103" i="14"/>
  <c r="FW101" i="14"/>
  <c r="FW99" i="14"/>
  <c r="FW97" i="14"/>
  <c r="FW95" i="14"/>
  <c r="FW93" i="14"/>
  <c r="FW91" i="14"/>
  <c r="EZ118" i="14"/>
  <c r="EZ123" i="14" s="1"/>
  <c r="EY118" i="14"/>
  <c r="EY124" i="14" s="1"/>
  <c r="EX118" i="14"/>
  <c r="EX123" i="14" s="1"/>
  <c r="FW90" i="14"/>
  <c r="EW118" i="14"/>
  <c r="EW124" i="14" s="1"/>
  <c r="CA81" i="14"/>
  <c r="CA82" i="14" s="1"/>
  <c r="FW48" i="14"/>
  <c r="FW32" i="14"/>
  <c r="FW30" i="14"/>
  <c r="FW29" i="14"/>
  <c r="CG31" i="14"/>
  <c r="CF31" i="14"/>
  <c r="CE31" i="14"/>
  <c r="CD31" i="14"/>
  <c r="CC31" i="14"/>
  <c r="CB31" i="14"/>
  <c r="CA31" i="14"/>
  <c r="BZ31" i="14"/>
  <c r="BY31" i="14"/>
  <c r="BX31" i="14"/>
  <c r="BW31" i="14"/>
  <c r="BV31" i="14"/>
  <c r="CG28" i="14"/>
  <c r="CF28" i="14"/>
  <c r="CE28" i="14"/>
  <c r="CD28" i="14"/>
  <c r="CC28" i="14"/>
  <c r="CB28" i="14"/>
  <c r="CA28" i="14"/>
  <c r="BZ28" i="14"/>
  <c r="BY28" i="14"/>
  <c r="BX28" i="14"/>
  <c r="BW28" i="14"/>
  <c r="BV28" i="14"/>
  <c r="CG27" i="14"/>
  <c r="CF27" i="14"/>
  <c r="CE27" i="14"/>
  <c r="CD27" i="14"/>
  <c r="CC27" i="14"/>
  <c r="CB27" i="14"/>
  <c r="CA27" i="14"/>
  <c r="BZ27" i="14"/>
  <c r="BY27" i="14"/>
  <c r="BX27" i="14"/>
  <c r="BW27" i="14"/>
  <c r="BV27" i="14"/>
  <c r="CG8" i="14"/>
  <c r="CF8" i="14"/>
  <c r="CE8" i="14"/>
  <c r="CD8" i="14"/>
  <c r="CC8" i="14"/>
  <c r="CB8" i="14"/>
  <c r="CA8" i="14"/>
  <c r="BZ8" i="14"/>
  <c r="BY8" i="14"/>
  <c r="BX8" i="14"/>
  <c r="BW8" i="14"/>
  <c r="BV8" i="14"/>
  <c r="FW41" i="14" l="1"/>
  <c r="CG50" i="14"/>
  <c r="CA50" i="14"/>
  <c r="CD50" i="14"/>
  <c r="BX50" i="14"/>
  <c r="CC50" i="14"/>
  <c r="BW50" i="14"/>
  <c r="EY121" i="14"/>
  <c r="EY119" i="14"/>
  <c r="EY123" i="14"/>
  <c r="EY120" i="14"/>
  <c r="EY122" i="14"/>
  <c r="EW121" i="14"/>
  <c r="EW119" i="14"/>
  <c r="EW123" i="14"/>
  <c r="EW120" i="14"/>
  <c r="EW122" i="14"/>
  <c r="EZ124" i="14"/>
  <c r="EZ120" i="14"/>
  <c r="EZ121" i="14"/>
  <c r="EZ122" i="14"/>
  <c r="EZ119" i="14"/>
  <c r="EX124" i="14"/>
  <c r="EX120" i="14"/>
  <c r="EX121" i="14"/>
  <c r="FW118" i="14"/>
  <c r="EX122" i="14"/>
  <c r="EX119" i="14"/>
  <c r="BZ50" i="14"/>
  <c r="EX31" i="14"/>
  <c r="EZ31" i="14"/>
  <c r="CF50" i="14"/>
  <c r="EY31" i="14"/>
  <c r="EW31" i="14"/>
  <c r="CE50" i="14"/>
  <c r="EZ28" i="14"/>
  <c r="CB50" i="14"/>
  <c r="EY28" i="14"/>
  <c r="BY50" i="14"/>
  <c r="EX28" i="14"/>
  <c r="BV50" i="14"/>
  <c r="EW28" i="14"/>
  <c r="L165" i="27"/>
  <c r="EW50" i="14" l="1"/>
  <c r="EW53" i="14" s="1"/>
  <c r="EY50" i="14"/>
  <c r="EY54" i="14" s="1"/>
  <c r="EX50" i="14"/>
  <c r="EX52" i="14" s="1"/>
  <c r="FW31" i="14"/>
  <c r="EZ50" i="14"/>
  <c r="EZ52" i="14" s="1"/>
  <c r="FW28" i="14"/>
  <c r="AI30" i="27"/>
  <c r="L30" i="27"/>
  <c r="S46" i="29"/>
  <c r="AJ322" i="27"/>
  <c r="L322" i="27"/>
  <c r="O182" i="27"/>
  <c r="AH182" i="27"/>
  <c r="AJ181" i="27"/>
  <c r="AK181" i="27" s="1"/>
  <c r="AH181" i="27"/>
  <c r="AI181" i="27" s="1"/>
  <c r="O754" i="27"/>
  <c r="P23" i="29"/>
  <c r="AI182" i="27" l="1"/>
  <c r="AL182" i="27"/>
  <c r="EW54" i="14"/>
  <c r="EX53" i="14"/>
  <c r="EW52" i="14"/>
  <c r="EW51" i="14"/>
  <c r="EY52" i="14"/>
  <c r="EY51" i="14"/>
  <c r="EY53" i="14"/>
  <c r="EX51" i="14"/>
  <c r="EX54" i="14"/>
  <c r="EZ54" i="14"/>
  <c r="EZ53" i="14"/>
  <c r="FW50" i="14"/>
  <c r="EZ51" i="14"/>
  <c r="AK322" i="27"/>
  <c r="AL181" i="27"/>
  <c r="L89" i="27"/>
  <c r="Q89" i="27"/>
  <c r="W89" i="27" s="1"/>
  <c r="W554" i="27"/>
  <c r="W553" i="27"/>
  <c r="W21" i="27"/>
  <c r="W20" i="27"/>
  <c r="W19" i="27"/>
  <c r="W18" i="27"/>
  <c r="W17" i="27"/>
  <c r="W16" i="27"/>
  <c r="W15" i="27"/>
  <c r="W551" i="27"/>
  <c r="W550" i="27"/>
  <c r="W9" i="27"/>
  <c r="W549" i="27"/>
  <c r="W246" i="27"/>
  <c r="W245" i="27"/>
  <c r="W547" i="27"/>
  <c r="Q71" i="27"/>
  <c r="Q70" i="27"/>
  <c r="Q69" i="27"/>
  <c r="Q68" i="27"/>
  <c r="Q67" i="27"/>
  <c r="Q65" i="27"/>
  <c r="Q64" i="27"/>
  <c r="Q66" i="27"/>
  <c r="Q60" i="27"/>
  <c r="W543" i="27"/>
  <c r="L242" i="27" l="1"/>
  <c r="L241" i="27"/>
  <c r="W142" i="27"/>
  <c r="P6" i="29"/>
  <c r="EU117" i="14"/>
  <c r="EU116" i="14"/>
  <c r="EU115" i="14"/>
  <c r="EU114" i="14"/>
  <c r="EU113" i="14"/>
  <c r="EU112" i="14"/>
  <c r="EU111" i="14"/>
  <c r="EU108" i="14"/>
  <c r="EU107" i="14"/>
  <c r="EU106" i="14"/>
  <c r="EU105" i="14"/>
  <c r="EU104" i="14"/>
  <c r="EU103" i="14"/>
  <c r="EU102" i="14"/>
  <c r="EU101" i="14"/>
  <c r="EU100" i="14"/>
  <c r="EU99" i="14"/>
  <c r="EU98" i="14"/>
  <c r="EU97" i="14"/>
  <c r="EU96" i="14"/>
  <c r="EU95" i="14"/>
  <c r="EU94" i="14"/>
  <c r="EU93" i="14"/>
  <c r="EU109" i="14"/>
  <c r="EU91" i="14"/>
  <c r="EU49" i="14"/>
  <c r="EU48" i="14"/>
  <c r="EU47" i="14"/>
  <c r="EU45" i="14"/>
  <c r="EU44" i="14"/>
  <c r="EU43" i="14"/>
  <c r="EU40" i="14"/>
  <c r="EU39" i="14"/>
  <c r="EU38" i="14"/>
  <c r="EU37" i="14"/>
  <c r="EU36" i="14"/>
  <c r="EU35" i="14"/>
  <c r="EU34" i="14"/>
  <c r="EU33" i="14"/>
  <c r="EU32" i="14"/>
  <c r="EU30" i="14"/>
  <c r="EU29" i="14"/>
  <c r="W82" i="27"/>
  <c r="W191" i="27"/>
  <c r="W161" i="27"/>
  <c r="W195" i="27"/>
  <c r="W545" i="27"/>
  <c r="W70" i="27"/>
  <c r="W65" i="27"/>
  <c r="W53" i="27"/>
  <c r="W55" i="27"/>
  <c r="W69" i="27"/>
  <c r="W49" i="27"/>
  <c r="W50" i="27"/>
  <c r="W71" i="27"/>
  <c r="W61" i="27"/>
  <c r="W48" i="27"/>
  <c r="W68" i="27"/>
  <c r="W63" i="27"/>
  <c r="W77" i="27"/>
  <c r="W80" i="27"/>
  <c r="W51" i="27"/>
  <c r="W79" i="27"/>
  <c r="W75" i="27"/>
  <c r="W73" i="27"/>
  <c r="W78" i="27"/>
  <c r="W81" i="27"/>
  <c r="W67" i="27"/>
  <c r="W72" i="27"/>
  <c r="W60" i="27"/>
  <c r="W76" i="27"/>
  <c r="W83" i="27"/>
  <c r="W64" i="27"/>
  <c r="W62" i="27"/>
  <c r="W52" i="27"/>
  <c r="W74" i="27"/>
  <c r="W66" i="27"/>
  <c r="W56" i="27"/>
  <c r="W173" i="27"/>
  <c r="W54" i="27"/>
  <c r="W488" i="27"/>
  <c r="W175" i="27"/>
  <c r="EU41" i="14" l="1"/>
  <c r="W194" i="27"/>
  <c r="W193" i="27"/>
  <c r="W190" i="27"/>
  <c r="W473" i="27"/>
  <c r="W192" i="27"/>
  <c r="O176" i="27"/>
  <c r="EV44" i="14"/>
  <c r="ET44" i="14"/>
  <c r="ES44" i="14"/>
  <c r="ER44" i="14"/>
  <c r="EQ44" i="14"/>
  <c r="EP44" i="14"/>
  <c r="EO44" i="14"/>
  <c r="EN44" i="14"/>
  <c r="EM44" i="14"/>
  <c r="EL44" i="14"/>
  <c r="EK44" i="14"/>
  <c r="EJ44" i="14"/>
  <c r="EI44" i="14"/>
  <c r="EH44" i="14"/>
  <c r="EG44" i="14"/>
  <c r="EF44" i="14"/>
  <c r="FR44" i="14" s="1"/>
  <c r="AD48" i="25"/>
  <c r="AP21" i="25"/>
  <c r="AD21" i="25"/>
  <c r="H211" i="5"/>
  <c r="I211" i="5"/>
  <c r="O175" i="27"/>
  <c r="AI114" i="27"/>
  <c r="W170" i="27"/>
  <c r="W172" i="27"/>
  <c r="W171" i="27"/>
  <c r="FV44" i="14" l="1"/>
  <c r="FU44" i="14"/>
  <c r="FT44" i="14"/>
  <c r="FS44" i="14"/>
  <c r="W478" i="27"/>
  <c r="L134" i="27"/>
  <c r="L133" i="27"/>
  <c r="L132" i="27"/>
  <c r="I214" i="5"/>
  <c r="H214" i="5"/>
  <c r="W174" i="27" l="1"/>
  <c r="AI21" i="27"/>
  <c r="L20" i="27"/>
  <c r="O19" i="27"/>
  <c r="AI19" i="27"/>
  <c r="AK18" i="27" l="1"/>
  <c r="L17" i="27"/>
  <c r="L16" i="27"/>
  <c r="AI16" i="27"/>
  <c r="W552" i="27"/>
  <c r="O552" i="27"/>
  <c r="L551" i="27"/>
  <c r="L550" i="27" l="1"/>
  <c r="AL180" i="27" l="1"/>
  <c r="AK180" i="27"/>
  <c r="AI180" i="27"/>
  <c r="AI486" i="27"/>
  <c r="AJ486" i="27"/>
  <c r="AK486" i="27" s="1"/>
  <c r="O477" i="27"/>
  <c r="W477" i="27"/>
  <c r="EV47" i="14"/>
  <c r="ET47" i="14"/>
  <c r="ES47" i="14"/>
  <c r="ER47" i="14"/>
  <c r="EQ47" i="14"/>
  <c r="EP47" i="14"/>
  <c r="EO47" i="14"/>
  <c r="EN47" i="14"/>
  <c r="EM47" i="14"/>
  <c r="EL47" i="14"/>
  <c r="EK47" i="14"/>
  <c r="EJ47" i="14"/>
  <c r="EI47" i="14"/>
  <c r="EH47" i="14"/>
  <c r="EG47" i="14"/>
  <c r="EF47" i="14"/>
  <c r="FR47" i="14" s="1"/>
  <c r="AD50" i="25"/>
  <c r="AD24" i="25"/>
  <c r="AP24" i="25"/>
  <c r="AJ178" i="27"/>
  <c r="AK178" i="27" s="1"/>
  <c r="FV47" i="14" l="1"/>
  <c r="FU47" i="14"/>
  <c r="FT47" i="14"/>
  <c r="FS47" i="14"/>
  <c r="AL486" i="27"/>
  <c r="W8" i="27"/>
  <c r="W548" i="27" l="1"/>
  <c r="W546" i="27"/>
  <c r="W544" i="27"/>
  <c r="W540" i="27"/>
  <c r="W541" i="27"/>
  <c r="W539" i="27"/>
  <c r="AJ15" i="27" l="1"/>
  <c r="AK15" i="27" s="1"/>
  <c r="AI15" i="27"/>
  <c r="O15" i="27"/>
  <c r="AJ14" i="27"/>
  <c r="AK14" i="27" s="1"/>
  <c r="O14" i="27"/>
  <c r="AJ13" i="27"/>
  <c r="AL13" i="27" s="1"/>
  <c r="O13" i="27"/>
  <c r="AI13" i="27"/>
  <c r="AL15" i="27" l="1"/>
  <c r="AK13" i="27"/>
  <c r="W12" i="27" l="1"/>
  <c r="W11" i="27"/>
  <c r="W10" i="27"/>
  <c r="AJ480" i="27"/>
  <c r="AK480" i="27" s="1"/>
  <c r="AJ483" i="27"/>
  <c r="AL483" i="27" s="1"/>
  <c r="AK483" i="27" l="1"/>
  <c r="AH112" i="27"/>
  <c r="AI112" i="27" s="1"/>
  <c r="AJ549" i="27"/>
  <c r="L549" i="27"/>
  <c r="L246" i="27"/>
  <c r="AK549" i="27" l="1"/>
  <c r="AK127" i="27"/>
  <c r="AK245" i="27"/>
  <c r="AJ323" i="27" l="1"/>
  <c r="AK323" i="27" s="1"/>
  <c r="O454" i="27"/>
  <c r="AJ119" i="27" l="1"/>
  <c r="AK119" i="27" s="1"/>
  <c r="AJ453" i="27"/>
  <c r="AH453" i="27"/>
  <c r="AI453" i="27" s="1"/>
  <c r="O489" i="27"/>
  <c r="AJ548" i="27"/>
  <c r="O548" i="27"/>
  <c r="L548" i="27" s="1"/>
  <c r="AK547" i="27"/>
  <c r="O547" i="27"/>
  <c r="EV48" i="14"/>
  <c r="ET48" i="14"/>
  <c r="ES48" i="14"/>
  <c r="ER48" i="14"/>
  <c r="EQ48" i="14"/>
  <c r="EP48" i="14"/>
  <c r="EO48" i="14"/>
  <c r="EN48" i="14"/>
  <c r="EM48" i="14"/>
  <c r="EL48" i="14"/>
  <c r="EK48" i="14"/>
  <c r="EJ48" i="14"/>
  <c r="EI48" i="14"/>
  <c r="EH48" i="14"/>
  <c r="EG48" i="14"/>
  <c r="EF48" i="14"/>
  <c r="FR48" i="14" s="1"/>
  <c r="AD51" i="25"/>
  <c r="AP25" i="25"/>
  <c r="AD25" i="25"/>
  <c r="I215" i="5"/>
  <c r="H215" i="5"/>
  <c r="BH59" i="14"/>
  <c r="BH62" i="14"/>
  <c r="BI59" i="14"/>
  <c r="BI62" i="14"/>
  <c r="BJ59" i="14"/>
  <c r="BJ62" i="14"/>
  <c r="AI105" i="27"/>
  <c r="O82" i="27"/>
  <c r="O81" i="27"/>
  <c r="O80" i="27"/>
  <c r="O79" i="27"/>
  <c r="O78" i="27"/>
  <c r="O77" i="27"/>
  <c r="O76" i="27"/>
  <c r="O75" i="27"/>
  <c r="O74" i="27"/>
  <c r="O73" i="27"/>
  <c r="O71" i="27"/>
  <c r="O70" i="27"/>
  <c r="O69" i="27"/>
  <c r="O68" i="27"/>
  <c r="O67" i="27"/>
  <c r="O66" i="27"/>
  <c r="O65" i="27"/>
  <c r="O64" i="27"/>
  <c r="O63" i="27"/>
  <c r="O62" i="27"/>
  <c r="O61" i="27"/>
  <c r="O60" i="27"/>
  <c r="AI111" i="27"/>
  <c r="AI73" i="27"/>
  <c r="AI71" i="27"/>
  <c r="AI70" i="27"/>
  <c r="AI69" i="27"/>
  <c r="AI68" i="27"/>
  <c r="AI67" i="27"/>
  <c r="AI66" i="27"/>
  <c r="AI64" i="27"/>
  <c r="AI63" i="27"/>
  <c r="AI61" i="27"/>
  <c r="AI60" i="27"/>
  <c r="AI62" i="27"/>
  <c r="AI82" i="27"/>
  <c r="AI81" i="27"/>
  <c r="AI80" i="27"/>
  <c r="AI79" i="27"/>
  <c r="AI78" i="27"/>
  <c r="AI77" i="27"/>
  <c r="AI76" i="27"/>
  <c r="AI75" i="27"/>
  <c r="AI74" i="27"/>
  <c r="AI355" i="27"/>
  <c r="AI357" i="27"/>
  <c r="AI83" i="27"/>
  <c r="O83" i="27"/>
  <c r="O72" i="27"/>
  <c r="AI72" i="27"/>
  <c r="CA12" i="14"/>
  <c r="BZ13" i="14" s="1"/>
  <c r="O57" i="22" s="1"/>
  <c r="BJ118" i="14"/>
  <c r="BK118" i="14"/>
  <c r="BL118" i="14"/>
  <c r="BM118" i="14"/>
  <c r="BN118" i="14"/>
  <c r="BO118" i="14"/>
  <c r="BS118" i="14"/>
  <c r="BT118" i="14"/>
  <c r="BU118" i="14"/>
  <c r="ES117" i="14"/>
  <c r="ET117" i="14"/>
  <c r="EV117" i="14"/>
  <c r="ES116" i="14"/>
  <c r="ET116" i="14"/>
  <c r="EV116" i="14"/>
  <c r="ES115" i="14"/>
  <c r="ET115" i="14"/>
  <c r="EV115" i="14"/>
  <c r="ES114" i="14"/>
  <c r="ET114" i="14"/>
  <c r="EV114" i="14"/>
  <c r="ES113" i="14"/>
  <c r="ET113" i="14"/>
  <c r="EV113" i="14"/>
  <c r="ES112" i="14"/>
  <c r="ET112" i="14"/>
  <c r="EV112" i="14"/>
  <c r="ES111" i="14"/>
  <c r="ET111" i="14"/>
  <c r="EV111" i="14"/>
  <c r="ES108" i="14"/>
  <c r="ET108" i="14"/>
  <c r="EV108" i="14"/>
  <c r="ES107" i="14"/>
  <c r="ET107" i="14"/>
  <c r="EV107" i="14"/>
  <c r="ES106" i="14"/>
  <c r="ET106" i="14"/>
  <c r="EV106" i="14"/>
  <c r="ES105" i="14"/>
  <c r="ET105" i="14"/>
  <c r="EV105" i="14"/>
  <c r="ES104" i="14"/>
  <c r="ET104" i="14"/>
  <c r="EV104" i="14"/>
  <c r="ES103" i="14"/>
  <c r="ET103" i="14"/>
  <c r="EV103" i="14"/>
  <c r="ES102" i="14"/>
  <c r="ET102" i="14"/>
  <c r="EV102" i="14"/>
  <c r="ES101" i="14"/>
  <c r="ET101" i="14"/>
  <c r="EV101" i="14"/>
  <c r="ES100" i="14"/>
  <c r="ET100" i="14"/>
  <c r="EV100" i="14"/>
  <c r="ES99" i="14"/>
  <c r="ET99" i="14"/>
  <c r="EV99" i="14"/>
  <c r="ES98" i="14"/>
  <c r="ET98" i="14"/>
  <c r="EV98" i="14"/>
  <c r="ES97" i="14"/>
  <c r="ET97" i="14"/>
  <c r="EV97" i="14"/>
  <c r="ES96" i="14"/>
  <c r="ET96" i="14"/>
  <c r="EV96" i="14"/>
  <c r="ES95" i="14"/>
  <c r="ET95" i="14"/>
  <c r="EV95" i="14"/>
  <c r="ES94" i="14"/>
  <c r="ET94" i="14"/>
  <c r="EV94" i="14"/>
  <c r="ES93" i="14"/>
  <c r="ET93" i="14"/>
  <c r="EV93" i="14"/>
  <c r="ES109" i="14"/>
  <c r="ET109" i="14"/>
  <c r="EV109" i="14"/>
  <c r="ES91" i="14"/>
  <c r="ET91" i="14"/>
  <c r="EV91" i="14"/>
  <c r="ES90" i="14"/>
  <c r="ET90" i="14"/>
  <c r="EU90" i="14"/>
  <c r="EV90" i="14"/>
  <c r="BJ28" i="14"/>
  <c r="BJ31" i="14"/>
  <c r="BK28" i="14"/>
  <c r="BK31" i="14"/>
  <c r="BL28" i="14"/>
  <c r="BL31" i="14"/>
  <c r="BM28" i="14"/>
  <c r="BM31" i="14"/>
  <c r="BN28" i="14"/>
  <c r="BN31" i="14"/>
  <c r="BO28" i="14"/>
  <c r="BO31" i="14"/>
  <c r="BS28" i="14"/>
  <c r="BS31" i="14"/>
  <c r="BT28" i="14"/>
  <c r="BT31" i="14"/>
  <c r="BU28" i="14"/>
  <c r="BU31" i="14"/>
  <c r="ES49" i="14"/>
  <c r="ET49" i="14"/>
  <c r="EV49" i="14"/>
  <c r="ES45" i="14"/>
  <c r="ET45" i="14"/>
  <c r="EV45" i="14"/>
  <c r="ES43" i="14"/>
  <c r="ET43" i="14"/>
  <c r="EV43" i="14"/>
  <c r="ES40" i="14"/>
  <c r="ET40" i="14"/>
  <c r="EV40" i="14"/>
  <c r="ES39" i="14"/>
  <c r="ET39" i="14"/>
  <c r="EV39" i="14"/>
  <c r="ES38" i="14"/>
  <c r="ET38" i="14"/>
  <c r="EV38" i="14"/>
  <c r="ES37" i="14"/>
  <c r="ET37" i="14"/>
  <c r="EV37" i="14"/>
  <c r="ES36" i="14"/>
  <c r="ET36" i="14"/>
  <c r="EV36" i="14"/>
  <c r="ES35" i="14"/>
  <c r="ET35" i="14"/>
  <c r="EV35" i="14"/>
  <c r="ES34" i="14"/>
  <c r="ET34" i="14"/>
  <c r="EV34" i="14"/>
  <c r="ES33" i="14"/>
  <c r="ET33" i="14"/>
  <c r="EV33" i="14"/>
  <c r="ES32" i="14"/>
  <c r="ET32" i="14"/>
  <c r="EV32" i="14"/>
  <c r="ES30" i="14"/>
  <c r="ET30" i="14"/>
  <c r="EV30" i="14"/>
  <c r="ES29" i="14"/>
  <c r="ET29" i="14"/>
  <c r="EV29" i="14"/>
  <c r="BS123" i="14"/>
  <c r="BT123" i="14"/>
  <c r="BU123" i="14"/>
  <c r="BM123" i="14"/>
  <c r="BN123" i="14"/>
  <c r="BO123" i="14"/>
  <c r="BJ123" i="14"/>
  <c r="BK123" i="14"/>
  <c r="BL123" i="14"/>
  <c r="BS122" i="14"/>
  <c r="BT122" i="14"/>
  <c r="BU122" i="14"/>
  <c r="BM122" i="14"/>
  <c r="BN122" i="14"/>
  <c r="BO122" i="14"/>
  <c r="BJ122" i="14"/>
  <c r="BK122" i="14"/>
  <c r="BL122" i="14"/>
  <c r="BS121" i="14"/>
  <c r="BT121" i="14"/>
  <c r="BU121" i="14"/>
  <c r="BM121" i="14"/>
  <c r="BN121" i="14"/>
  <c r="BO121" i="14"/>
  <c r="BJ121" i="14"/>
  <c r="BK121" i="14"/>
  <c r="BL121" i="14"/>
  <c r="BS120" i="14"/>
  <c r="BT120" i="14"/>
  <c r="BU120" i="14"/>
  <c r="BM120" i="14"/>
  <c r="BN120" i="14"/>
  <c r="BO120" i="14"/>
  <c r="BJ120" i="14"/>
  <c r="BK120" i="14"/>
  <c r="BL120" i="14"/>
  <c r="BG118" i="14"/>
  <c r="BH118" i="14"/>
  <c r="BI118" i="14"/>
  <c r="BG123" i="14"/>
  <c r="BH123" i="14"/>
  <c r="BI123" i="14"/>
  <c r="BG122" i="14"/>
  <c r="BH122" i="14"/>
  <c r="BI122" i="14"/>
  <c r="BG121" i="14"/>
  <c r="BH121" i="14"/>
  <c r="BI121" i="14"/>
  <c r="BG120" i="14"/>
  <c r="BH120" i="14"/>
  <c r="BI120" i="14"/>
  <c r="BD118" i="14"/>
  <c r="BE118" i="14"/>
  <c r="BF118" i="14"/>
  <c r="BA118" i="14"/>
  <c r="BB118" i="14"/>
  <c r="BC118" i="14"/>
  <c r="AX118" i="14"/>
  <c r="AY118" i="14"/>
  <c r="AZ118" i="14"/>
  <c r="ER117" i="14"/>
  <c r="EQ117" i="14"/>
  <c r="EP117" i="14"/>
  <c r="EO117" i="14"/>
  <c r="ER116" i="14"/>
  <c r="EQ116" i="14"/>
  <c r="EP116" i="14"/>
  <c r="EO116" i="14"/>
  <c r="ER115" i="14"/>
  <c r="EQ115" i="14"/>
  <c r="EP115" i="14"/>
  <c r="EO115" i="14"/>
  <c r="ER114" i="14"/>
  <c r="EQ114" i="14"/>
  <c r="EP114" i="14"/>
  <c r="EO114" i="14"/>
  <c r="ER113" i="14"/>
  <c r="EQ113" i="14"/>
  <c r="EP113" i="14"/>
  <c r="EO113" i="14"/>
  <c r="ER112" i="14"/>
  <c r="EQ112" i="14"/>
  <c r="EP112" i="14"/>
  <c r="EO112" i="14"/>
  <c r="ER111" i="14"/>
  <c r="EQ111" i="14"/>
  <c r="EP111" i="14"/>
  <c r="EO111" i="14"/>
  <c r="ER108" i="14"/>
  <c r="EQ108" i="14"/>
  <c r="EP108" i="14"/>
  <c r="EO108" i="14"/>
  <c r="ER107" i="14"/>
  <c r="EQ107" i="14"/>
  <c r="EP107" i="14"/>
  <c r="EO107" i="14"/>
  <c r="ER106" i="14"/>
  <c r="EQ106" i="14"/>
  <c r="EP106" i="14"/>
  <c r="EO106" i="14"/>
  <c r="ER105" i="14"/>
  <c r="EQ105" i="14"/>
  <c r="EP105" i="14"/>
  <c r="EO105" i="14"/>
  <c r="ER104" i="14"/>
  <c r="EQ104" i="14"/>
  <c r="EP104" i="14"/>
  <c r="EO104" i="14"/>
  <c r="ER103" i="14"/>
  <c r="EQ103" i="14"/>
  <c r="EP103" i="14"/>
  <c r="EO103" i="14"/>
  <c r="ER102" i="14"/>
  <c r="EQ102" i="14"/>
  <c r="EP102" i="14"/>
  <c r="EO102" i="14"/>
  <c r="ER101" i="14"/>
  <c r="EQ101" i="14"/>
  <c r="EP101" i="14"/>
  <c r="EO101" i="14"/>
  <c r="ER100" i="14"/>
  <c r="EQ100" i="14"/>
  <c r="EP100" i="14"/>
  <c r="EO100" i="14"/>
  <c r="ER99" i="14"/>
  <c r="EQ99" i="14"/>
  <c r="EP99" i="14"/>
  <c r="EO99" i="14"/>
  <c r="ER98" i="14"/>
  <c r="EQ98" i="14"/>
  <c r="EP98" i="14"/>
  <c r="EO98" i="14"/>
  <c r="ER97" i="14"/>
  <c r="EQ97" i="14"/>
  <c r="EP97" i="14"/>
  <c r="EO97" i="14"/>
  <c r="ER96" i="14"/>
  <c r="EQ96" i="14"/>
  <c r="EP96" i="14"/>
  <c r="EO96" i="14"/>
  <c r="ER95" i="14"/>
  <c r="EQ95" i="14"/>
  <c r="EP95" i="14"/>
  <c r="EO95" i="14"/>
  <c r="ER94" i="14"/>
  <c r="EQ94" i="14"/>
  <c r="EP94" i="14"/>
  <c r="EO94" i="14"/>
  <c r="ER93" i="14"/>
  <c r="EQ93" i="14"/>
  <c r="EP93" i="14"/>
  <c r="EO93" i="14"/>
  <c r="ER109" i="14"/>
  <c r="EQ109" i="14"/>
  <c r="EP109" i="14"/>
  <c r="EO109" i="14"/>
  <c r="ER91" i="14"/>
  <c r="EQ91" i="14"/>
  <c r="EP91" i="14"/>
  <c r="EO91" i="14"/>
  <c r="ER90" i="14"/>
  <c r="N166" i="14"/>
  <c r="BI160" i="14"/>
  <c r="N160" i="14"/>
  <c r="N167" i="14" s="1"/>
  <c r="O160" i="14"/>
  <c r="P160" i="14"/>
  <c r="Q160" i="14"/>
  <c r="R160" i="14"/>
  <c r="S160" i="14"/>
  <c r="T160" i="14"/>
  <c r="U160" i="14"/>
  <c r="V160" i="14"/>
  <c r="W160" i="14"/>
  <c r="X160" i="14"/>
  <c r="Y160" i="14"/>
  <c r="Z160" i="14"/>
  <c r="AA160" i="14"/>
  <c r="AB160" i="14"/>
  <c r="AC160" i="14"/>
  <c r="AD160" i="14"/>
  <c r="AE160" i="14"/>
  <c r="AF160" i="14"/>
  <c r="AG160" i="14"/>
  <c r="AH160" i="14"/>
  <c r="AI160" i="14"/>
  <c r="AJ160" i="14"/>
  <c r="AK160" i="14"/>
  <c r="AL160" i="14"/>
  <c r="AM160" i="14"/>
  <c r="AN160" i="14"/>
  <c r="AO160" i="14"/>
  <c r="AP160" i="14"/>
  <c r="AQ160" i="14"/>
  <c r="AR160" i="14"/>
  <c r="AS160" i="14"/>
  <c r="AT160" i="14"/>
  <c r="AU160" i="14"/>
  <c r="AV160" i="14"/>
  <c r="AW160" i="14"/>
  <c r="AX160" i="14"/>
  <c r="AY160" i="14"/>
  <c r="AZ160" i="14"/>
  <c r="BA160" i="14"/>
  <c r="BB160" i="14"/>
  <c r="BC160" i="14"/>
  <c r="BD160" i="14"/>
  <c r="BE160" i="14"/>
  <c r="BF160" i="14"/>
  <c r="BG160" i="14"/>
  <c r="BH160" i="14"/>
  <c r="BJ160" i="14"/>
  <c r="BK160" i="14"/>
  <c r="BL160" i="14"/>
  <c r="BM160" i="14"/>
  <c r="BN160" i="14"/>
  <c r="BO160" i="14"/>
  <c r="BP160" i="14"/>
  <c r="BQ160" i="14"/>
  <c r="BR160" i="14"/>
  <c r="BS160" i="14"/>
  <c r="BT160" i="14"/>
  <c r="BU160" i="14"/>
  <c r="BI161" i="14"/>
  <c r="N161" i="14"/>
  <c r="N168" i="14" s="1"/>
  <c r="O161" i="14"/>
  <c r="P161" i="14"/>
  <c r="Q161" i="14"/>
  <c r="R161" i="14"/>
  <c r="S161" i="14"/>
  <c r="T161" i="14"/>
  <c r="U161" i="14"/>
  <c r="V161" i="14"/>
  <c r="W161" i="14"/>
  <c r="X161" i="14"/>
  <c r="Y161" i="14"/>
  <c r="Z161" i="14"/>
  <c r="AA161" i="14"/>
  <c r="AB161" i="14"/>
  <c r="AC161" i="14"/>
  <c r="AD161" i="14"/>
  <c r="AE161" i="14"/>
  <c r="AF161" i="14"/>
  <c r="AG161" i="14"/>
  <c r="AH161" i="14"/>
  <c r="AI161" i="14"/>
  <c r="AJ161" i="14"/>
  <c r="AK161" i="14"/>
  <c r="AL161" i="14"/>
  <c r="AM161" i="14"/>
  <c r="AN161" i="14"/>
  <c r="AO161" i="14"/>
  <c r="AP161" i="14"/>
  <c r="AQ161" i="14"/>
  <c r="AR161" i="14"/>
  <c r="AS161" i="14"/>
  <c r="AT161" i="14"/>
  <c r="AU161" i="14"/>
  <c r="AV161" i="14"/>
  <c r="AW161" i="14"/>
  <c r="AX161" i="14"/>
  <c r="AY161" i="14"/>
  <c r="AZ161" i="14"/>
  <c r="BA161" i="14"/>
  <c r="BB161" i="14"/>
  <c r="BC161" i="14"/>
  <c r="BD161" i="14"/>
  <c r="BE161" i="14"/>
  <c r="BF161" i="14"/>
  <c r="BG161" i="14"/>
  <c r="BH161" i="14"/>
  <c r="BJ161" i="14"/>
  <c r="BK161" i="14"/>
  <c r="BL161" i="14"/>
  <c r="BM161" i="14"/>
  <c r="BN161" i="14"/>
  <c r="BO161" i="14"/>
  <c r="BP161" i="14"/>
  <c r="BQ161" i="14"/>
  <c r="BR161" i="14"/>
  <c r="BS161" i="14"/>
  <c r="BT161" i="14"/>
  <c r="BU161" i="14"/>
  <c r="BI162" i="14"/>
  <c r="N162" i="14"/>
  <c r="N169" i="14" s="1"/>
  <c r="O162" i="14"/>
  <c r="P162" i="14"/>
  <c r="Q162" i="14"/>
  <c r="R162" i="14"/>
  <c r="S162" i="14"/>
  <c r="T162" i="14"/>
  <c r="U162" i="14"/>
  <c r="V162" i="14"/>
  <c r="W162" i="14"/>
  <c r="X162" i="14"/>
  <c r="Y162" i="14"/>
  <c r="Z162" i="14"/>
  <c r="AA162" i="14"/>
  <c r="AB162" i="14"/>
  <c r="AC162" i="14"/>
  <c r="AD162" i="14"/>
  <c r="AE162" i="14"/>
  <c r="AF162" i="14"/>
  <c r="AG162" i="14"/>
  <c r="AH162" i="14"/>
  <c r="AI162" i="14"/>
  <c r="AJ162" i="14"/>
  <c r="AK162" i="14"/>
  <c r="AL162" i="14"/>
  <c r="AM162" i="14"/>
  <c r="AN162" i="14"/>
  <c r="AO162" i="14"/>
  <c r="AP162" i="14"/>
  <c r="AQ162" i="14"/>
  <c r="AR162" i="14"/>
  <c r="AS162" i="14"/>
  <c r="AT162" i="14"/>
  <c r="AU162" i="14"/>
  <c r="AV162" i="14"/>
  <c r="AW162" i="14"/>
  <c r="AX162" i="14"/>
  <c r="AY162" i="14"/>
  <c r="AZ162" i="14"/>
  <c r="BA162" i="14"/>
  <c r="BB162" i="14"/>
  <c r="BC162" i="14"/>
  <c r="BD162" i="14"/>
  <c r="BE162" i="14"/>
  <c r="BF162" i="14"/>
  <c r="BG162" i="14"/>
  <c r="BH162" i="14"/>
  <c r="BJ162" i="14"/>
  <c r="BK162" i="14"/>
  <c r="BL162" i="14"/>
  <c r="BM162" i="14"/>
  <c r="BN162" i="14"/>
  <c r="BO162" i="14"/>
  <c r="BP162" i="14"/>
  <c r="BQ162" i="14"/>
  <c r="BR162" i="14"/>
  <c r="BS162" i="14"/>
  <c r="BT162" i="14"/>
  <c r="BU162" i="14"/>
  <c r="BI163" i="14"/>
  <c r="N163" i="14"/>
  <c r="N170" i="14" s="1"/>
  <c r="O163" i="14"/>
  <c r="P163" i="14"/>
  <c r="Q163" i="14"/>
  <c r="R163" i="14"/>
  <c r="S163" i="14"/>
  <c r="T163" i="14"/>
  <c r="U163" i="14"/>
  <c r="V163" i="14"/>
  <c r="W163" i="14"/>
  <c r="X163" i="14"/>
  <c r="Y163" i="14"/>
  <c r="Z163" i="14"/>
  <c r="AA163" i="14"/>
  <c r="AB163" i="14"/>
  <c r="AC163" i="14"/>
  <c r="AD163" i="14"/>
  <c r="AE163" i="14"/>
  <c r="AF163" i="14"/>
  <c r="AG163" i="14"/>
  <c r="AH163" i="14"/>
  <c r="AI163" i="14"/>
  <c r="AJ163" i="14"/>
  <c r="AK163" i="14"/>
  <c r="AL163" i="14"/>
  <c r="AM163" i="14"/>
  <c r="AN163" i="14"/>
  <c r="AO163" i="14"/>
  <c r="AP163" i="14"/>
  <c r="AQ163" i="14"/>
  <c r="AR163" i="14"/>
  <c r="AS163" i="14"/>
  <c r="AT163" i="14"/>
  <c r="AU163" i="14"/>
  <c r="AV163" i="14"/>
  <c r="AW163" i="14"/>
  <c r="AX163" i="14"/>
  <c r="AY163" i="14"/>
  <c r="AZ163" i="14"/>
  <c r="BA163" i="14"/>
  <c r="BB163" i="14"/>
  <c r="BC163" i="14"/>
  <c r="BD163" i="14"/>
  <c r="BE163" i="14"/>
  <c r="BF163" i="14"/>
  <c r="BG163" i="14"/>
  <c r="BH163" i="14"/>
  <c r="BJ163" i="14"/>
  <c r="BK163" i="14"/>
  <c r="BL163" i="14"/>
  <c r="BM163" i="14"/>
  <c r="BN163" i="14"/>
  <c r="BO163" i="14"/>
  <c r="BP163" i="14"/>
  <c r="BQ163" i="14"/>
  <c r="BR163" i="14"/>
  <c r="BS163" i="14"/>
  <c r="BT163" i="14"/>
  <c r="BU163" i="14"/>
  <c r="N171" i="14"/>
  <c r="BU158" i="14"/>
  <c r="BT158" i="14"/>
  <c r="BS158" i="14"/>
  <c r="BR158" i="14"/>
  <c r="BQ158" i="14"/>
  <c r="BP158" i="14"/>
  <c r="BO158" i="14"/>
  <c r="BN158" i="14"/>
  <c r="BM158" i="14"/>
  <c r="BL158" i="14"/>
  <c r="BK158" i="14"/>
  <c r="BJ158" i="14"/>
  <c r="BI158" i="14"/>
  <c r="BR123" i="14"/>
  <c r="BQ123" i="14"/>
  <c r="BP123" i="14"/>
  <c r="BR122" i="14"/>
  <c r="BQ122" i="14"/>
  <c r="BP122" i="14"/>
  <c r="BR121" i="14"/>
  <c r="BQ121" i="14"/>
  <c r="BP121" i="14"/>
  <c r="BR120" i="14"/>
  <c r="BQ120" i="14"/>
  <c r="BP120" i="14"/>
  <c r="BR118" i="14"/>
  <c r="BQ118" i="14"/>
  <c r="BP118" i="14"/>
  <c r="BU59" i="14"/>
  <c r="BU62" i="14"/>
  <c r="BT59" i="14"/>
  <c r="BT62" i="14"/>
  <c r="BS59" i="14"/>
  <c r="BS62" i="14"/>
  <c r="BR59" i="14"/>
  <c r="BR62" i="14"/>
  <c r="BQ59" i="14"/>
  <c r="BQ62" i="14"/>
  <c r="BP59" i="14"/>
  <c r="BP62" i="14"/>
  <c r="BO59" i="14"/>
  <c r="BO62" i="14"/>
  <c r="BN59" i="14"/>
  <c r="BN62" i="14"/>
  <c r="BM59" i="14"/>
  <c r="BM62" i="14"/>
  <c r="BL59" i="14"/>
  <c r="BL62" i="14"/>
  <c r="BK59" i="14"/>
  <c r="BK62" i="14"/>
  <c r="BR28" i="14"/>
  <c r="BR31" i="14"/>
  <c r="BQ28" i="14"/>
  <c r="BQ31" i="14"/>
  <c r="BP28" i="14"/>
  <c r="BP31" i="14"/>
  <c r="BI28" i="14"/>
  <c r="BI31" i="14"/>
  <c r="BU129" i="14"/>
  <c r="BT129" i="14"/>
  <c r="BS129" i="14"/>
  <c r="BR129" i="14"/>
  <c r="BQ129" i="14"/>
  <c r="BP129" i="14"/>
  <c r="BO129" i="14"/>
  <c r="BN129" i="14"/>
  <c r="BM129" i="14"/>
  <c r="BL129" i="14"/>
  <c r="BK129" i="14"/>
  <c r="BJ129" i="14"/>
  <c r="BI129" i="14"/>
  <c r="BU89" i="14"/>
  <c r="BT89" i="14"/>
  <c r="BS89" i="14"/>
  <c r="BR89" i="14"/>
  <c r="BQ89" i="14"/>
  <c r="BP89" i="14"/>
  <c r="BO89" i="14"/>
  <c r="BN89" i="14"/>
  <c r="BM89" i="14"/>
  <c r="BL89" i="14"/>
  <c r="BK89" i="14"/>
  <c r="BJ89" i="14"/>
  <c r="BU58" i="14"/>
  <c r="BT58" i="14"/>
  <c r="BS58" i="14"/>
  <c r="BR58" i="14"/>
  <c r="BQ58" i="14"/>
  <c r="BP58" i="14"/>
  <c r="BO58" i="14"/>
  <c r="BN58" i="14"/>
  <c r="BM58" i="14"/>
  <c r="BL58" i="14"/>
  <c r="BK58" i="14"/>
  <c r="BJ58" i="14"/>
  <c r="BI58" i="14"/>
  <c r="BI89" i="14" s="1"/>
  <c r="BU27" i="14"/>
  <c r="BT27" i="14"/>
  <c r="BS27" i="14"/>
  <c r="BR27" i="14"/>
  <c r="BQ27" i="14"/>
  <c r="BP27" i="14"/>
  <c r="BO27" i="14"/>
  <c r="BN27" i="14"/>
  <c r="BM27" i="14"/>
  <c r="BL27" i="14"/>
  <c r="BK27" i="14"/>
  <c r="BJ27" i="14"/>
  <c r="BI27" i="14"/>
  <c r="AD17" i="14"/>
  <c r="AC17" i="14"/>
  <c r="AB17" i="14"/>
  <c r="AA17" i="14"/>
  <c r="Z17" i="14"/>
  <c r="Y17" i="14"/>
  <c r="X17" i="14"/>
  <c r="W17" i="14"/>
  <c r="AD16" i="14"/>
  <c r="AC16" i="14"/>
  <c r="AB16" i="14"/>
  <c r="AA16" i="14"/>
  <c r="Z16" i="14"/>
  <c r="BU8" i="14"/>
  <c r="BT8" i="14"/>
  <c r="BS8" i="14"/>
  <c r="BR8" i="14"/>
  <c r="BQ8" i="14"/>
  <c r="BP8" i="14"/>
  <c r="BO8" i="14"/>
  <c r="BN8" i="14"/>
  <c r="BM8" i="14"/>
  <c r="BL8" i="14"/>
  <c r="BK8" i="14"/>
  <c r="BJ8" i="14"/>
  <c r="BI8" i="14"/>
  <c r="N4" i="14"/>
  <c r="O4" i="14" s="1"/>
  <c r="P4" i="14" s="1"/>
  <c r="Q4" i="14" s="1"/>
  <c r="R4" i="14" s="1"/>
  <c r="S4" i="14" s="1"/>
  <c r="T4" i="14" s="1"/>
  <c r="U4" i="14" s="1"/>
  <c r="V4" i="14" s="1"/>
  <c r="W4" i="14" s="1"/>
  <c r="X4" i="14" s="1"/>
  <c r="Y4" i="14" s="1"/>
  <c r="Z4" i="14" s="1"/>
  <c r="AA4" i="14" s="1"/>
  <c r="AB4" i="14" s="1"/>
  <c r="AC4" i="14" s="1"/>
  <c r="AD4" i="14" s="1"/>
  <c r="AE4" i="14" s="1"/>
  <c r="AF4" i="14" s="1"/>
  <c r="AG4" i="14" s="1"/>
  <c r="AH4" i="14" s="1"/>
  <c r="AI4" i="14" s="1"/>
  <c r="AJ4" i="14" s="1"/>
  <c r="AK4" i="14" s="1"/>
  <c r="AL4" i="14" s="1"/>
  <c r="AM4" i="14" s="1"/>
  <c r="AN4" i="14" s="1"/>
  <c r="AO4" i="14" s="1"/>
  <c r="AP4" i="14" s="1"/>
  <c r="AQ4" i="14" s="1"/>
  <c r="AR4" i="14" s="1"/>
  <c r="AS4" i="14" s="1"/>
  <c r="AT4" i="14" s="1"/>
  <c r="AU4" i="14" s="1"/>
  <c r="AV4" i="14" s="1"/>
  <c r="AW4" i="14" s="1"/>
  <c r="AX4" i="14" s="1"/>
  <c r="AY4" i="14" s="1"/>
  <c r="AZ4" i="14" s="1"/>
  <c r="BA4" i="14" s="1"/>
  <c r="BB4" i="14" s="1"/>
  <c r="BC4" i="14" s="1"/>
  <c r="BD4" i="14" s="1"/>
  <c r="BE4" i="14" s="1"/>
  <c r="BF4" i="14" s="1"/>
  <c r="BG4" i="14" s="1"/>
  <c r="BH4" i="14" s="1"/>
  <c r="BI4" i="14" s="1"/>
  <c r="BJ4" i="14" s="1"/>
  <c r="BK4" i="14" s="1"/>
  <c r="BL4" i="14" s="1"/>
  <c r="BM4" i="14" s="1"/>
  <c r="BN4" i="14" s="1"/>
  <c r="BO4" i="14" s="1"/>
  <c r="BP4" i="14" s="1"/>
  <c r="BQ4" i="14" s="1"/>
  <c r="BR4" i="14" s="1"/>
  <c r="BS4" i="14" s="1"/>
  <c r="BT4" i="14" s="1"/>
  <c r="BU4" i="14" s="1"/>
  <c r="BV4" i="14" s="1"/>
  <c r="BW4" i="14" s="1"/>
  <c r="BX4" i="14" s="1"/>
  <c r="BY4" i="14" s="1"/>
  <c r="BZ4" i="14" s="1"/>
  <c r="CA4" i="14" s="1"/>
  <c r="CB4" i="14" s="1"/>
  <c r="CC4" i="14" s="1"/>
  <c r="CD4" i="14" s="1"/>
  <c r="CE4" i="14" s="1"/>
  <c r="CF4" i="14" s="1"/>
  <c r="CG4" i="14" s="1"/>
  <c r="CH4" i="14" s="1"/>
  <c r="CI4" i="14" s="1"/>
  <c r="CJ4" i="14" s="1"/>
  <c r="CK4" i="14" s="1"/>
  <c r="CL4" i="14" s="1"/>
  <c r="CM4" i="14" s="1"/>
  <c r="CN4" i="14" s="1"/>
  <c r="CO4" i="14" s="1"/>
  <c r="CP4" i="14" s="1"/>
  <c r="CQ4" i="14" s="1"/>
  <c r="CR4" i="14" s="1"/>
  <c r="CS4" i="14" s="1"/>
  <c r="CT4" i="14" s="1"/>
  <c r="CU4" i="14" s="1"/>
  <c r="CV4" i="14" s="1"/>
  <c r="CW4" i="14" s="1"/>
  <c r="CX4" i="14" s="1"/>
  <c r="CY4" i="14" s="1"/>
  <c r="CZ4" i="14" s="1"/>
  <c r="DA4" i="14" s="1"/>
  <c r="DB4" i="14" s="1"/>
  <c r="DC4" i="14" s="1"/>
  <c r="DD4" i="14" s="1"/>
  <c r="DE4" i="14" s="1"/>
  <c r="DF4" i="14" s="1"/>
  <c r="DG4" i="14" s="1"/>
  <c r="DH4" i="14" s="1"/>
  <c r="DI4" i="14" s="1"/>
  <c r="DJ4" i="14" s="1"/>
  <c r="DK4" i="14" s="1"/>
  <c r="DL4" i="14" s="1"/>
  <c r="DM4" i="14" s="1"/>
  <c r="DN4" i="14" s="1"/>
  <c r="DO4" i="14" s="1"/>
  <c r="DP4" i="14" s="1"/>
  <c r="DQ4" i="14" s="1"/>
  <c r="DR4" i="14" s="1"/>
  <c r="DS4" i="14" s="1"/>
  <c r="DT4" i="14" s="1"/>
  <c r="DU4" i="14" s="1"/>
  <c r="DV4" i="14" s="1"/>
  <c r="DW4" i="14" s="1"/>
  <c r="DX4" i="14" s="1"/>
  <c r="DY4" i="14" s="1"/>
  <c r="DZ4" i="14" s="1"/>
  <c r="EA4" i="14" s="1"/>
  <c r="EB4" i="14" s="1"/>
  <c r="EC4" i="14" s="1"/>
  <c r="AD47" i="5"/>
  <c r="D55" i="5"/>
  <c r="C55" i="5"/>
  <c r="BC59" i="14"/>
  <c r="BC62" i="14"/>
  <c r="BD59" i="14"/>
  <c r="BD62" i="14"/>
  <c r="BE59" i="14"/>
  <c r="BE62" i="14"/>
  <c r="W124" i="27"/>
  <c r="W123" i="27"/>
  <c r="AI173" i="27"/>
  <c r="AH57" i="27"/>
  <c r="AI451" i="27"/>
  <c r="O174" i="27"/>
  <c r="O58" i="27"/>
  <c r="O57" i="27"/>
  <c r="L544" i="27"/>
  <c r="L473" i="27"/>
  <c r="AK473" i="27" s="1"/>
  <c r="E152" i="5"/>
  <c r="AI189" i="27"/>
  <c r="O189" i="27"/>
  <c r="AH476" i="27"/>
  <c r="AI476" i="27"/>
  <c r="BG62" i="14"/>
  <c r="BF62" i="14"/>
  <c r="BB62" i="14"/>
  <c r="BA62" i="14"/>
  <c r="AZ62" i="14"/>
  <c r="AY62" i="14"/>
  <c r="AX62" i="14"/>
  <c r="AW62" i="14"/>
  <c r="AV62" i="14"/>
  <c r="AU62" i="14"/>
  <c r="AT62" i="14"/>
  <c r="AS62" i="14"/>
  <c r="AR62" i="14"/>
  <c r="AQ62" i="14"/>
  <c r="AP62" i="14"/>
  <c r="AO62" i="14"/>
  <c r="AN62" i="14"/>
  <c r="AM62" i="14"/>
  <c r="AL62" i="14"/>
  <c r="AK62" i="14"/>
  <c r="AJ62" i="14"/>
  <c r="AI62" i="14"/>
  <c r="AH62" i="14"/>
  <c r="AG62" i="14"/>
  <c r="AF62" i="14"/>
  <c r="AE62" i="14"/>
  <c r="AD62" i="14"/>
  <c r="AC62" i="14"/>
  <c r="AB62" i="14"/>
  <c r="AA62" i="14"/>
  <c r="Z62" i="14"/>
  <c r="Y62" i="14"/>
  <c r="X62" i="14"/>
  <c r="W62" i="14"/>
  <c r="V62" i="14"/>
  <c r="U62" i="14"/>
  <c r="T62" i="14"/>
  <c r="S62" i="14"/>
  <c r="R62" i="14"/>
  <c r="Q62" i="14"/>
  <c r="P62" i="14"/>
  <c r="O62" i="14"/>
  <c r="N62" i="14"/>
  <c r="BG59" i="14"/>
  <c r="BF59" i="14"/>
  <c r="BB59" i="14"/>
  <c r="BA59" i="14"/>
  <c r="AZ59" i="14"/>
  <c r="AY59" i="14"/>
  <c r="AX59" i="14"/>
  <c r="AW59" i="14"/>
  <c r="AV59" i="14"/>
  <c r="AU59" i="14"/>
  <c r="AT59" i="14"/>
  <c r="AS59" i="14"/>
  <c r="AR59" i="14"/>
  <c r="AQ59" i="14"/>
  <c r="AP59" i="14"/>
  <c r="AO59" i="14"/>
  <c r="AN59" i="14"/>
  <c r="AM59" i="14"/>
  <c r="AL59" i="14"/>
  <c r="AK59" i="14"/>
  <c r="AJ59" i="14"/>
  <c r="AI59" i="14"/>
  <c r="AH59" i="14"/>
  <c r="AG59" i="14"/>
  <c r="AF59" i="14"/>
  <c r="AE59" i="14"/>
  <c r="AD59" i="14"/>
  <c r="AC59" i="14"/>
  <c r="AB59" i="14"/>
  <c r="AA59" i="14"/>
  <c r="Z59" i="14"/>
  <c r="Y59" i="14"/>
  <c r="X59" i="14"/>
  <c r="W59" i="14"/>
  <c r="V59" i="14"/>
  <c r="U59" i="14"/>
  <c r="T59" i="14"/>
  <c r="S59" i="14"/>
  <c r="R59" i="14"/>
  <c r="Q59" i="14"/>
  <c r="P59" i="14"/>
  <c r="O59" i="14"/>
  <c r="N59" i="14"/>
  <c r="AZ8" i="25"/>
  <c r="AZ7" i="25"/>
  <c r="AZ9" i="25"/>
  <c r="AZ13" i="25"/>
  <c r="BA8" i="25"/>
  <c r="BA7" i="25"/>
  <c r="BA9" i="25"/>
  <c r="BA13" i="25"/>
  <c r="AY13" i="25"/>
  <c r="AY9" i="25"/>
  <c r="O450" i="27"/>
  <c r="A1" i="22"/>
  <c r="B13" i="14"/>
  <c r="N8" i="14"/>
  <c r="O8" i="14"/>
  <c r="P8" i="14"/>
  <c r="Q8" i="14"/>
  <c r="R8" i="14"/>
  <c r="S8" i="14"/>
  <c r="T8" i="14"/>
  <c r="U8" i="14"/>
  <c r="V8" i="14"/>
  <c r="W8" i="14"/>
  <c r="X8" i="14"/>
  <c r="Y8" i="14"/>
  <c r="Z8" i="14"/>
  <c r="AA8" i="14"/>
  <c r="AB8" i="14"/>
  <c r="AC8" i="14"/>
  <c r="AD8" i="14"/>
  <c r="AE8" i="14"/>
  <c r="AF8" i="14"/>
  <c r="AG8" i="14"/>
  <c r="AH8" i="14"/>
  <c r="AI8" i="14"/>
  <c r="AJ8" i="14"/>
  <c r="AK8" i="14"/>
  <c r="AL8" i="14"/>
  <c r="AM8" i="14"/>
  <c r="AN8" i="14"/>
  <c r="AO8" i="14"/>
  <c r="AP8" i="14"/>
  <c r="AQ8" i="14"/>
  <c r="AR8" i="14"/>
  <c r="AS8" i="14"/>
  <c r="AT8" i="14"/>
  <c r="AU8" i="14"/>
  <c r="AV8" i="14"/>
  <c r="AW8" i="14"/>
  <c r="AX8" i="14"/>
  <c r="AY8" i="14"/>
  <c r="AZ8" i="14"/>
  <c r="BA8" i="14"/>
  <c r="BB8" i="14"/>
  <c r="BC8" i="14"/>
  <c r="BD8" i="14"/>
  <c r="BE8" i="14"/>
  <c r="BF8" i="14"/>
  <c r="BG8" i="14"/>
  <c r="BH8" i="14"/>
  <c r="N16" i="14"/>
  <c r="B16" i="14" s="1"/>
  <c r="O16" i="14"/>
  <c r="P16" i="14"/>
  <c r="Q16" i="14"/>
  <c r="R16" i="14"/>
  <c r="S16" i="14"/>
  <c r="T16" i="14"/>
  <c r="U16" i="14"/>
  <c r="V16" i="14"/>
  <c r="W16" i="14"/>
  <c r="X16" i="14"/>
  <c r="Y16" i="14"/>
  <c r="N17" i="14"/>
  <c r="B17" i="14" s="1"/>
  <c r="O17" i="14"/>
  <c r="P17" i="14"/>
  <c r="Q17" i="14"/>
  <c r="R17" i="14"/>
  <c r="S17" i="14"/>
  <c r="T17" i="14"/>
  <c r="U17" i="14"/>
  <c r="V17" i="14"/>
  <c r="N27" i="14"/>
  <c r="O27" i="14"/>
  <c r="P27" i="14"/>
  <c r="Q27" i="14"/>
  <c r="R27" i="14"/>
  <c r="S27" i="14"/>
  <c r="T27" i="14"/>
  <c r="U27" i="14"/>
  <c r="V27" i="14"/>
  <c r="W27" i="14"/>
  <c r="X27" i="14"/>
  <c r="Y27" i="14"/>
  <c r="Z27" i="14"/>
  <c r="AA27" i="14"/>
  <c r="AB27" i="14"/>
  <c r="AC27" i="14"/>
  <c r="AD27" i="14"/>
  <c r="AE27" i="14"/>
  <c r="AF27" i="14"/>
  <c r="AG27" i="14"/>
  <c r="AH27" i="14"/>
  <c r="AI27" i="14"/>
  <c r="AJ27" i="14"/>
  <c r="AK27" i="14"/>
  <c r="AL27" i="14"/>
  <c r="AM27" i="14"/>
  <c r="AN27" i="14"/>
  <c r="AO27" i="14"/>
  <c r="AP27" i="14"/>
  <c r="AQ27" i="14"/>
  <c r="AR27" i="14"/>
  <c r="AS27" i="14"/>
  <c r="AT27" i="14"/>
  <c r="AU27" i="14"/>
  <c r="AV27" i="14"/>
  <c r="AW27" i="14"/>
  <c r="AX27" i="14"/>
  <c r="AY27" i="14"/>
  <c r="AZ27" i="14"/>
  <c r="BA27" i="14"/>
  <c r="BB27" i="14"/>
  <c r="BC27" i="14"/>
  <c r="BD27" i="14"/>
  <c r="BE27" i="14"/>
  <c r="BF27" i="14"/>
  <c r="BG27" i="14"/>
  <c r="BH27" i="14"/>
  <c r="N28" i="14"/>
  <c r="O28" i="14"/>
  <c r="P28" i="14"/>
  <c r="Q28" i="14"/>
  <c r="R28" i="14"/>
  <c r="S28" i="14"/>
  <c r="T28" i="14"/>
  <c r="U28" i="14"/>
  <c r="V28" i="14"/>
  <c r="W28" i="14"/>
  <c r="X28" i="14"/>
  <c r="Y28" i="14"/>
  <c r="Z28" i="14"/>
  <c r="AA28" i="14"/>
  <c r="AB28" i="14"/>
  <c r="AC28" i="14"/>
  <c r="AD28" i="14"/>
  <c r="AE28" i="14"/>
  <c r="AF28" i="14"/>
  <c r="AG28" i="14"/>
  <c r="AH28" i="14"/>
  <c r="AI28" i="14"/>
  <c r="AJ28" i="14"/>
  <c r="AK28" i="14"/>
  <c r="AL28" i="14"/>
  <c r="AM28" i="14"/>
  <c r="AN28" i="14"/>
  <c r="AO28" i="14"/>
  <c r="AP28" i="14"/>
  <c r="AQ28" i="14"/>
  <c r="AR28" i="14"/>
  <c r="AS28" i="14"/>
  <c r="AT28" i="14"/>
  <c r="AU28" i="14"/>
  <c r="AV28" i="14"/>
  <c r="AW28" i="14"/>
  <c r="AX28" i="14"/>
  <c r="AY28" i="14"/>
  <c r="AZ28" i="14"/>
  <c r="BA28" i="14"/>
  <c r="BB28" i="14"/>
  <c r="BC28" i="14"/>
  <c r="BD28" i="14"/>
  <c r="BE28" i="14"/>
  <c r="BF28" i="14"/>
  <c r="BG28" i="14"/>
  <c r="BH28" i="14"/>
  <c r="EF29" i="14"/>
  <c r="FR29" i="14" s="1"/>
  <c r="EG29" i="14"/>
  <c r="EH29" i="14"/>
  <c r="EI29" i="14"/>
  <c r="EJ29" i="14"/>
  <c r="EK29" i="14"/>
  <c r="EL29" i="14"/>
  <c r="EM29" i="14"/>
  <c r="EN29" i="14"/>
  <c r="EO29" i="14"/>
  <c r="EP29" i="14"/>
  <c r="EQ29" i="14"/>
  <c r="ER29" i="14"/>
  <c r="EF30" i="14"/>
  <c r="FR30" i="14" s="1"/>
  <c r="EG30" i="14"/>
  <c r="EH30" i="14"/>
  <c r="EI30" i="14"/>
  <c r="EJ30" i="14"/>
  <c r="EK30" i="14"/>
  <c r="EL30" i="14"/>
  <c r="EM30" i="14"/>
  <c r="EN30" i="14"/>
  <c r="EO30" i="14"/>
  <c r="EP30" i="14"/>
  <c r="EQ30" i="14"/>
  <c r="ER30" i="14"/>
  <c r="N31" i="14"/>
  <c r="O31" i="14"/>
  <c r="P31" i="14"/>
  <c r="Q31" i="14"/>
  <c r="R31" i="14"/>
  <c r="S31" i="14"/>
  <c r="T31" i="14"/>
  <c r="U31" i="14"/>
  <c r="V31" i="14"/>
  <c r="W31" i="14"/>
  <c r="X31" i="14"/>
  <c r="Y31" i="14"/>
  <c r="Z31" i="14"/>
  <c r="AA31" i="14"/>
  <c r="AB31" i="14"/>
  <c r="AC31" i="14"/>
  <c r="AD31" i="14"/>
  <c r="AE31" i="14"/>
  <c r="AF31" i="14"/>
  <c r="AG31" i="14"/>
  <c r="AH31" i="14"/>
  <c r="AI31" i="14"/>
  <c r="AJ31" i="14"/>
  <c r="AK31" i="14"/>
  <c r="AL31" i="14"/>
  <c r="AM31" i="14"/>
  <c r="AN31" i="14"/>
  <c r="AO31" i="14"/>
  <c r="AP31" i="14"/>
  <c r="AQ31" i="14"/>
  <c r="AR31" i="14"/>
  <c r="AS31" i="14"/>
  <c r="AT31" i="14"/>
  <c r="AU31" i="14"/>
  <c r="AV31" i="14"/>
  <c r="AW31" i="14"/>
  <c r="AX31" i="14"/>
  <c r="AY31" i="14"/>
  <c r="AZ31" i="14"/>
  <c r="BA31" i="14"/>
  <c r="BB31" i="14"/>
  <c r="BC31" i="14"/>
  <c r="BD31" i="14"/>
  <c r="BE31" i="14"/>
  <c r="BF31" i="14"/>
  <c r="BG31" i="14"/>
  <c r="BH31" i="14"/>
  <c r="EF32" i="14"/>
  <c r="FR32" i="14" s="1"/>
  <c r="EG32" i="14"/>
  <c r="EH32" i="14"/>
  <c r="EI32" i="14"/>
  <c r="EJ32" i="14"/>
  <c r="EK32" i="14"/>
  <c r="EL32" i="14"/>
  <c r="EM32" i="14"/>
  <c r="EN32" i="14"/>
  <c r="EO32" i="14"/>
  <c r="EP32" i="14"/>
  <c r="EQ32" i="14"/>
  <c r="ER32" i="14"/>
  <c r="EF33" i="14"/>
  <c r="FR33" i="14" s="1"/>
  <c r="EG33" i="14"/>
  <c r="EH33" i="14"/>
  <c r="EI33" i="14"/>
  <c r="EJ33" i="14"/>
  <c r="EK33" i="14"/>
  <c r="EL33" i="14"/>
  <c r="EM33" i="14"/>
  <c r="EN33" i="14"/>
  <c r="EO33" i="14"/>
  <c r="EP33" i="14"/>
  <c r="EQ33" i="14"/>
  <c r="ER33" i="14"/>
  <c r="EF34" i="14"/>
  <c r="FR34" i="14" s="1"/>
  <c r="EG34" i="14"/>
  <c r="EH34" i="14"/>
  <c r="EI34" i="14"/>
  <c r="EJ34" i="14"/>
  <c r="EK34" i="14"/>
  <c r="EL34" i="14"/>
  <c r="EM34" i="14"/>
  <c r="EN34" i="14"/>
  <c r="EO34" i="14"/>
  <c r="EP34" i="14"/>
  <c r="EQ34" i="14"/>
  <c r="ER34" i="14"/>
  <c r="EF35" i="14"/>
  <c r="FR35" i="14" s="1"/>
  <c r="EG35" i="14"/>
  <c r="EH35" i="14"/>
  <c r="EI35" i="14"/>
  <c r="EJ35" i="14"/>
  <c r="EK35" i="14"/>
  <c r="EL35" i="14"/>
  <c r="EM35" i="14"/>
  <c r="EN35" i="14"/>
  <c r="EO35" i="14"/>
  <c r="EP35" i="14"/>
  <c r="EQ35" i="14"/>
  <c r="ER35" i="14"/>
  <c r="EF36" i="14"/>
  <c r="FR36" i="14" s="1"/>
  <c r="EG36" i="14"/>
  <c r="EH36" i="14"/>
  <c r="EI36" i="14"/>
  <c r="EJ36" i="14"/>
  <c r="EK36" i="14"/>
  <c r="EL36" i="14"/>
  <c r="EM36" i="14"/>
  <c r="EN36" i="14"/>
  <c r="EO36" i="14"/>
  <c r="EP36" i="14"/>
  <c r="EQ36" i="14"/>
  <c r="ER36" i="14"/>
  <c r="EF37" i="14"/>
  <c r="FR37" i="14" s="1"/>
  <c r="EG37" i="14"/>
  <c r="EH37" i="14"/>
  <c r="EI37" i="14"/>
  <c r="EJ37" i="14"/>
  <c r="EK37" i="14"/>
  <c r="EL37" i="14"/>
  <c r="EM37" i="14"/>
  <c r="EN37" i="14"/>
  <c r="EO37" i="14"/>
  <c r="EP37" i="14"/>
  <c r="EQ37" i="14"/>
  <c r="ER37" i="14"/>
  <c r="EF38" i="14"/>
  <c r="FR38" i="14" s="1"/>
  <c r="EG38" i="14"/>
  <c r="EH38" i="14"/>
  <c r="EI38" i="14"/>
  <c r="EJ38" i="14"/>
  <c r="EK38" i="14"/>
  <c r="EL38" i="14"/>
  <c r="EM38" i="14"/>
  <c r="EN38" i="14"/>
  <c r="EO38" i="14"/>
  <c r="EP38" i="14"/>
  <c r="EQ38" i="14"/>
  <c r="ER38" i="14"/>
  <c r="EF39" i="14"/>
  <c r="FR39" i="14" s="1"/>
  <c r="EG39" i="14"/>
  <c r="EH39" i="14"/>
  <c r="EI39" i="14"/>
  <c r="EJ39" i="14"/>
  <c r="EK39" i="14"/>
  <c r="EL39" i="14"/>
  <c r="EM39" i="14"/>
  <c r="EN39" i="14"/>
  <c r="EO39" i="14"/>
  <c r="EP39" i="14"/>
  <c r="EQ39" i="14"/>
  <c r="ER39" i="14"/>
  <c r="EF40" i="14"/>
  <c r="FR40" i="14" s="1"/>
  <c r="EG40" i="14"/>
  <c r="EH40" i="14"/>
  <c r="EI40" i="14"/>
  <c r="EJ40" i="14"/>
  <c r="EK40" i="14"/>
  <c r="EL40" i="14"/>
  <c r="EM40" i="14"/>
  <c r="EN40" i="14"/>
  <c r="EO40" i="14"/>
  <c r="EP40" i="14"/>
  <c r="EQ40" i="14"/>
  <c r="ER40" i="14"/>
  <c r="EO43" i="14"/>
  <c r="EO49" i="14"/>
  <c r="EP43" i="14"/>
  <c r="EP49" i="14"/>
  <c r="EQ43" i="14"/>
  <c r="EQ49" i="14"/>
  <c r="ER43" i="14"/>
  <c r="ER49" i="14"/>
  <c r="EF43" i="14"/>
  <c r="EG43" i="14"/>
  <c r="EH43" i="14"/>
  <c r="EI43" i="14"/>
  <c r="EJ43" i="14"/>
  <c r="EK43" i="14"/>
  <c r="EL43" i="14"/>
  <c r="EM43" i="14"/>
  <c r="EN43" i="14"/>
  <c r="EF45" i="14"/>
  <c r="FR45" i="14" s="1"/>
  <c r="EG45" i="14"/>
  <c r="EH45" i="14"/>
  <c r="EI45" i="14"/>
  <c r="EJ45" i="14"/>
  <c r="EK45" i="14"/>
  <c r="EL45" i="14"/>
  <c r="EM45" i="14"/>
  <c r="EN45" i="14"/>
  <c r="EO45" i="14"/>
  <c r="EP45" i="14"/>
  <c r="EQ45" i="14"/>
  <c r="ER45" i="14"/>
  <c r="EF49" i="14"/>
  <c r="FR49" i="14" s="1"/>
  <c r="EG49" i="14"/>
  <c r="EH49" i="14"/>
  <c r="EI49" i="14"/>
  <c r="EJ49" i="14"/>
  <c r="EK49" i="14"/>
  <c r="EL49" i="14"/>
  <c r="EM49" i="14"/>
  <c r="EN49" i="14"/>
  <c r="N58" i="14"/>
  <c r="O58" i="14"/>
  <c r="P58" i="14"/>
  <c r="Q58" i="14"/>
  <c r="R58" i="14"/>
  <c r="S58" i="14"/>
  <c r="T58" i="14"/>
  <c r="U58" i="14"/>
  <c r="V58" i="14"/>
  <c r="W58" i="14"/>
  <c r="X58" i="14"/>
  <c r="Y58" i="14"/>
  <c r="Z58" i="14"/>
  <c r="AA58" i="14"/>
  <c r="AB58" i="14"/>
  <c r="AC58" i="14"/>
  <c r="AD58" i="14"/>
  <c r="AE58" i="14"/>
  <c r="AF58" i="14"/>
  <c r="AG58" i="14"/>
  <c r="AH58" i="14"/>
  <c r="AI58" i="14"/>
  <c r="AJ58" i="14"/>
  <c r="AK58" i="14"/>
  <c r="AL58" i="14"/>
  <c r="AM58" i="14"/>
  <c r="AN58" i="14"/>
  <c r="AO58" i="14"/>
  <c r="AP58" i="14"/>
  <c r="AQ58" i="14"/>
  <c r="AR58" i="14"/>
  <c r="AS58" i="14"/>
  <c r="AT58" i="14"/>
  <c r="AU58" i="14"/>
  <c r="AV58" i="14"/>
  <c r="AW58" i="14"/>
  <c r="AX58" i="14"/>
  <c r="AY58" i="14"/>
  <c r="AZ58" i="14"/>
  <c r="BA58" i="14"/>
  <c r="BB58" i="14"/>
  <c r="BC58" i="14"/>
  <c r="BD58" i="14"/>
  <c r="BE58" i="14"/>
  <c r="BF58" i="14"/>
  <c r="BG58" i="14"/>
  <c r="BH58" i="14"/>
  <c r="N89" i="14"/>
  <c r="O89" i="14"/>
  <c r="P89" i="14"/>
  <c r="Q89" i="14"/>
  <c r="R89" i="14"/>
  <c r="S89" i="14"/>
  <c r="T89" i="14"/>
  <c r="U89" i="14"/>
  <c r="V89" i="14"/>
  <c r="W89" i="14"/>
  <c r="X89" i="14"/>
  <c r="Y89" i="14"/>
  <c r="Z89" i="14"/>
  <c r="AA89" i="14"/>
  <c r="AB89" i="14"/>
  <c r="AC89" i="14"/>
  <c r="AD89" i="14"/>
  <c r="AE89" i="14"/>
  <c r="AF89" i="14"/>
  <c r="AG89" i="14"/>
  <c r="AH89" i="14"/>
  <c r="AI89" i="14"/>
  <c r="AJ89" i="14"/>
  <c r="AK89" i="14"/>
  <c r="AL89" i="14"/>
  <c r="AM89" i="14"/>
  <c r="AN89" i="14"/>
  <c r="AO89" i="14"/>
  <c r="AP89" i="14"/>
  <c r="AQ89" i="14"/>
  <c r="AR89" i="14"/>
  <c r="AS89" i="14"/>
  <c r="AT89" i="14"/>
  <c r="AU89" i="14"/>
  <c r="AV89" i="14"/>
  <c r="AW89" i="14"/>
  <c r="AX89" i="14"/>
  <c r="AY89" i="14"/>
  <c r="AZ89" i="14"/>
  <c r="BA89" i="14"/>
  <c r="BB89" i="14"/>
  <c r="BC89" i="14"/>
  <c r="BD89" i="14"/>
  <c r="BE89" i="14"/>
  <c r="BF89" i="14"/>
  <c r="BG89" i="14"/>
  <c r="BH89" i="14"/>
  <c r="EF90" i="14"/>
  <c r="FR90" i="14" s="1"/>
  <c r="EG90" i="14"/>
  <c r="EH90" i="14"/>
  <c r="EI90" i="14"/>
  <c r="EJ90" i="14"/>
  <c r="EK90" i="14"/>
  <c r="EL90" i="14"/>
  <c r="EM90" i="14"/>
  <c r="EN90" i="14"/>
  <c r="EO90" i="14"/>
  <c r="EP90" i="14"/>
  <c r="EQ90" i="14"/>
  <c r="EF91" i="14"/>
  <c r="FR91" i="14" s="1"/>
  <c r="EG91" i="14"/>
  <c r="EH91" i="14"/>
  <c r="EI91" i="14"/>
  <c r="EJ91" i="14"/>
  <c r="EK91" i="14"/>
  <c r="EL91" i="14"/>
  <c r="EM91" i="14"/>
  <c r="EN91" i="14"/>
  <c r="EF109" i="14"/>
  <c r="FR109" i="14" s="1"/>
  <c r="EG109" i="14"/>
  <c r="EH109" i="14"/>
  <c r="EI109" i="14"/>
  <c r="EJ109" i="14"/>
  <c r="EK109" i="14"/>
  <c r="EL109" i="14"/>
  <c r="EM109" i="14"/>
  <c r="EN109" i="14"/>
  <c r="EF93" i="14"/>
  <c r="FR93" i="14" s="1"/>
  <c r="EG93" i="14"/>
  <c r="EH93" i="14"/>
  <c r="EI93" i="14"/>
  <c r="EJ93" i="14"/>
  <c r="EK93" i="14"/>
  <c r="EL93" i="14"/>
  <c r="EM93" i="14"/>
  <c r="EN93" i="14"/>
  <c r="EF94" i="14"/>
  <c r="FR94" i="14" s="1"/>
  <c r="EG94" i="14"/>
  <c r="EH94" i="14"/>
  <c r="EI94" i="14"/>
  <c r="EJ94" i="14"/>
  <c r="EK94" i="14"/>
  <c r="EL94" i="14"/>
  <c r="EM94" i="14"/>
  <c r="EN94" i="14"/>
  <c r="EF95" i="14"/>
  <c r="FR95" i="14" s="1"/>
  <c r="EG95" i="14"/>
  <c r="EH95" i="14"/>
  <c r="EI95" i="14"/>
  <c r="EJ95" i="14"/>
  <c r="EK95" i="14"/>
  <c r="EL95" i="14"/>
  <c r="EM95" i="14"/>
  <c r="EN95" i="14"/>
  <c r="EF96" i="14"/>
  <c r="FR96" i="14" s="1"/>
  <c r="EG96" i="14"/>
  <c r="EH96" i="14"/>
  <c r="EI96" i="14"/>
  <c r="EJ96" i="14"/>
  <c r="EK96" i="14"/>
  <c r="EL96" i="14"/>
  <c r="EM96" i="14"/>
  <c r="EN96" i="14"/>
  <c r="EF97" i="14"/>
  <c r="FR97" i="14" s="1"/>
  <c r="EG97" i="14"/>
  <c r="EH97" i="14"/>
  <c r="EI97" i="14"/>
  <c r="EJ97" i="14"/>
  <c r="EK97" i="14"/>
  <c r="EL97" i="14"/>
  <c r="EM97" i="14"/>
  <c r="EN97" i="14"/>
  <c r="EF98" i="14"/>
  <c r="FR98" i="14" s="1"/>
  <c r="EG98" i="14"/>
  <c r="EH98" i="14"/>
  <c r="EI98" i="14"/>
  <c r="EJ98" i="14"/>
  <c r="EK98" i="14"/>
  <c r="EL98" i="14"/>
  <c r="EM98" i="14"/>
  <c r="EN98" i="14"/>
  <c r="EF99" i="14"/>
  <c r="FR99" i="14" s="1"/>
  <c r="EG99" i="14"/>
  <c r="EH99" i="14"/>
  <c r="EI99" i="14"/>
  <c r="EJ99" i="14"/>
  <c r="EK99" i="14"/>
  <c r="EL99" i="14"/>
  <c r="EM99" i="14"/>
  <c r="EN99" i="14"/>
  <c r="EF100" i="14"/>
  <c r="FR100" i="14" s="1"/>
  <c r="EG100" i="14"/>
  <c r="EH100" i="14"/>
  <c r="EI100" i="14"/>
  <c r="EJ100" i="14"/>
  <c r="EK100" i="14"/>
  <c r="EL100" i="14"/>
  <c r="EM100" i="14"/>
  <c r="EN100" i="14"/>
  <c r="EF101" i="14"/>
  <c r="FR101" i="14" s="1"/>
  <c r="EG101" i="14"/>
  <c r="EH101" i="14"/>
  <c r="EI101" i="14"/>
  <c r="EJ101" i="14"/>
  <c r="EK101" i="14"/>
  <c r="EL101" i="14"/>
  <c r="EM101" i="14"/>
  <c r="EN101" i="14"/>
  <c r="EF102" i="14"/>
  <c r="FR102" i="14" s="1"/>
  <c r="EG102" i="14"/>
  <c r="EH102" i="14"/>
  <c r="EI102" i="14"/>
  <c r="EJ102" i="14"/>
  <c r="EK102" i="14"/>
  <c r="EL102" i="14"/>
  <c r="EM102" i="14"/>
  <c r="EN102" i="14"/>
  <c r="ED122" i="14"/>
  <c r="EF103" i="14"/>
  <c r="FR103" i="14" s="1"/>
  <c r="EG103" i="14"/>
  <c r="EH103" i="14"/>
  <c r="EI103" i="14"/>
  <c r="EJ103" i="14"/>
  <c r="EK103" i="14"/>
  <c r="EL103" i="14"/>
  <c r="EM103" i="14"/>
  <c r="EN103" i="14"/>
  <c r="EF104" i="14"/>
  <c r="FR104" i="14" s="1"/>
  <c r="EG104" i="14"/>
  <c r="EH104" i="14"/>
  <c r="EI104" i="14"/>
  <c r="EJ104" i="14"/>
  <c r="EK104" i="14"/>
  <c r="EL104" i="14"/>
  <c r="EM104" i="14"/>
  <c r="EN104" i="14"/>
  <c r="EF105" i="14"/>
  <c r="FR105" i="14" s="1"/>
  <c r="EG105" i="14"/>
  <c r="EH105" i="14"/>
  <c r="EI105" i="14"/>
  <c r="EJ105" i="14"/>
  <c r="EK105" i="14"/>
  <c r="EL105" i="14"/>
  <c r="EM105" i="14"/>
  <c r="EN105" i="14"/>
  <c r="EF106" i="14"/>
  <c r="FR106" i="14" s="1"/>
  <c r="EG106" i="14"/>
  <c r="EH106" i="14"/>
  <c r="EI106" i="14"/>
  <c r="EJ106" i="14"/>
  <c r="EK106" i="14"/>
  <c r="EL106" i="14"/>
  <c r="EM106" i="14"/>
  <c r="EN106" i="14"/>
  <c r="EF107" i="14"/>
  <c r="FR107" i="14" s="1"/>
  <c r="EG107" i="14"/>
  <c r="EH107" i="14"/>
  <c r="EI107" i="14"/>
  <c r="EJ107" i="14"/>
  <c r="EK107" i="14"/>
  <c r="EL107" i="14"/>
  <c r="EM107" i="14"/>
  <c r="EN107" i="14"/>
  <c r="EF108" i="14"/>
  <c r="FR108" i="14" s="1"/>
  <c r="EG108" i="14"/>
  <c r="EH108" i="14"/>
  <c r="EI108" i="14"/>
  <c r="EJ108" i="14"/>
  <c r="EK108" i="14"/>
  <c r="EL108" i="14"/>
  <c r="EM108" i="14"/>
  <c r="EN108" i="14"/>
  <c r="EF111" i="14"/>
  <c r="FR111" i="14" s="1"/>
  <c r="EG111" i="14"/>
  <c r="EH111" i="14"/>
  <c r="EI111" i="14"/>
  <c r="EJ111" i="14"/>
  <c r="EK111" i="14"/>
  <c r="EL111" i="14"/>
  <c r="EM111" i="14"/>
  <c r="EN111" i="14"/>
  <c r="EF112" i="14"/>
  <c r="FR112" i="14" s="1"/>
  <c r="EG112" i="14"/>
  <c r="EH112" i="14"/>
  <c r="EI112" i="14"/>
  <c r="EJ112" i="14"/>
  <c r="EK112" i="14"/>
  <c r="EL112" i="14"/>
  <c r="EM112" i="14"/>
  <c r="EN112" i="14"/>
  <c r="EF113" i="14"/>
  <c r="FR113" i="14" s="1"/>
  <c r="EG113" i="14"/>
  <c r="EH113" i="14"/>
  <c r="EI113" i="14"/>
  <c r="EJ113" i="14"/>
  <c r="EK113" i="14"/>
  <c r="EL113" i="14"/>
  <c r="EM113" i="14"/>
  <c r="EN113" i="14"/>
  <c r="EF114" i="14"/>
  <c r="FR114" i="14" s="1"/>
  <c r="EG114" i="14"/>
  <c r="EH114" i="14"/>
  <c r="EI114" i="14"/>
  <c r="EJ114" i="14"/>
  <c r="EK114" i="14"/>
  <c r="EL114" i="14"/>
  <c r="EM114" i="14"/>
  <c r="EN114" i="14"/>
  <c r="EF115" i="14"/>
  <c r="FR115" i="14" s="1"/>
  <c r="EG115" i="14"/>
  <c r="EH115" i="14"/>
  <c r="EI115" i="14"/>
  <c r="EJ115" i="14"/>
  <c r="EK115" i="14"/>
  <c r="EL115" i="14"/>
  <c r="EM115" i="14"/>
  <c r="EN115" i="14"/>
  <c r="EF116" i="14"/>
  <c r="FR116" i="14" s="1"/>
  <c r="EG116" i="14"/>
  <c r="EH116" i="14"/>
  <c r="EI116" i="14"/>
  <c r="EJ116" i="14"/>
  <c r="EK116" i="14"/>
  <c r="EL116" i="14"/>
  <c r="EM116" i="14"/>
  <c r="EN116" i="14"/>
  <c r="EF117" i="14"/>
  <c r="FR117" i="14" s="1"/>
  <c r="EG117" i="14"/>
  <c r="EH117" i="14"/>
  <c r="EI117" i="14"/>
  <c r="EJ117" i="14"/>
  <c r="EK117" i="14"/>
  <c r="EL117" i="14"/>
  <c r="EM117" i="14"/>
  <c r="EN117" i="14"/>
  <c r="N118" i="14"/>
  <c r="O118" i="14"/>
  <c r="P118" i="14"/>
  <c r="Q118" i="14"/>
  <c r="R118" i="14"/>
  <c r="S118" i="14"/>
  <c r="T118" i="14"/>
  <c r="U118" i="14"/>
  <c r="V118" i="14"/>
  <c r="W118" i="14"/>
  <c r="X118" i="14"/>
  <c r="Y118" i="14"/>
  <c r="Z118" i="14"/>
  <c r="AA118" i="14"/>
  <c r="AB118" i="14"/>
  <c r="AC118" i="14"/>
  <c r="AD118" i="14"/>
  <c r="AE118" i="14"/>
  <c r="AF118" i="14"/>
  <c r="AG118" i="14"/>
  <c r="AH118" i="14"/>
  <c r="AI118" i="14"/>
  <c r="AJ118" i="14"/>
  <c r="AK118" i="14"/>
  <c r="AL118" i="14"/>
  <c r="AM118" i="14"/>
  <c r="AN118" i="14"/>
  <c r="AO118" i="14"/>
  <c r="AP118" i="14"/>
  <c r="AQ118" i="14"/>
  <c r="AR118" i="14"/>
  <c r="AS118" i="14"/>
  <c r="AT118" i="14"/>
  <c r="AU118" i="14"/>
  <c r="AV118" i="14"/>
  <c r="AW118" i="14"/>
  <c r="N120" i="14"/>
  <c r="O120" i="14"/>
  <c r="P120" i="14"/>
  <c r="Q120" i="14"/>
  <c r="R120" i="14"/>
  <c r="S120" i="14"/>
  <c r="T120" i="14"/>
  <c r="U120" i="14"/>
  <c r="V120" i="14"/>
  <c r="W120" i="14"/>
  <c r="X120" i="14"/>
  <c r="Y120" i="14"/>
  <c r="Z120" i="14"/>
  <c r="AA120" i="14"/>
  <c r="AB120" i="14"/>
  <c r="AC120" i="14"/>
  <c r="AD120" i="14"/>
  <c r="AE120" i="14"/>
  <c r="AF120" i="14"/>
  <c r="AG120" i="14"/>
  <c r="AH120" i="14"/>
  <c r="AI120" i="14"/>
  <c r="AJ120" i="14"/>
  <c r="AK120" i="14"/>
  <c r="AL120" i="14"/>
  <c r="AM120" i="14"/>
  <c r="AN120" i="14"/>
  <c r="AO120" i="14"/>
  <c r="AP120" i="14"/>
  <c r="AQ120" i="14"/>
  <c r="AR120" i="14"/>
  <c r="AS120" i="14"/>
  <c r="AT120" i="14"/>
  <c r="AU120" i="14"/>
  <c r="AV120" i="14"/>
  <c r="AW120" i="14"/>
  <c r="AX120" i="14"/>
  <c r="AY120" i="14"/>
  <c r="AZ120" i="14"/>
  <c r="BA120" i="14"/>
  <c r="BB120" i="14"/>
  <c r="BC120" i="14"/>
  <c r="BD120" i="14"/>
  <c r="BE120" i="14"/>
  <c r="BF120" i="14"/>
  <c r="N121" i="14"/>
  <c r="O121" i="14"/>
  <c r="P121" i="14"/>
  <c r="Q121" i="14"/>
  <c r="R121" i="14"/>
  <c r="S121" i="14"/>
  <c r="T121" i="14"/>
  <c r="U121" i="14"/>
  <c r="V121" i="14"/>
  <c r="W121" i="14"/>
  <c r="X121" i="14"/>
  <c r="Y121" i="14"/>
  <c r="Z121" i="14"/>
  <c r="AA121" i="14"/>
  <c r="AB121" i="14"/>
  <c r="AC121" i="14"/>
  <c r="AD121" i="14"/>
  <c r="AE121" i="14"/>
  <c r="AF121" i="14"/>
  <c r="AG121" i="14"/>
  <c r="AH121" i="14"/>
  <c r="AI121" i="14"/>
  <c r="AJ121" i="14"/>
  <c r="AK121" i="14"/>
  <c r="AL121" i="14"/>
  <c r="AM121" i="14"/>
  <c r="AN121" i="14"/>
  <c r="AO121" i="14"/>
  <c r="AP121" i="14"/>
  <c r="AQ121" i="14"/>
  <c r="AR121" i="14"/>
  <c r="AS121" i="14"/>
  <c r="AT121" i="14"/>
  <c r="AU121" i="14"/>
  <c r="AV121" i="14"/>
  <c r="AW121" i="14"/>
  <c r="AX121" i="14"/>
  <c r="AY121" i="14"/>
  <c r="AZ121" i="14"/>
  <c r="BA121" i="14"/>
  <c r="BB121" i="14"/>
  <c r="BC121" i="14"/>
  <c r="BD121" i="14"/>
  <c r="BE121" i="14"/>
  <c r="BF121" i="14"/>
  <c r="N122" i="14"/>
  <c r="O122" i="14"/>
  <c r="P122" i="14"/>
  <c r="Q122" i="14"/>
  <c r="R122" i="14"/>
  <c r="S122" i="14"/>
  <c r="T122" i="14"/>
  <c r="U122" i="14"/>
  <c r="V122" i="14"/>
  <c r="W122" i="14"/>
  <c r="X122" i="14"/>
  <c r="Y122" i="14"/>
  <c r="Z122" i="14"/>
  <c r="AA122" i="14"/>
  <c r="AB122" i="14"/>
  <c r="AC122" i="14"/>
  <c r="AD122" i="14"/>
  <c r="AE122" i="14"/>
  <c r="AF122" i="14"/>
  <c r="AG122" i="14"/>
  <c r="AH122" i="14"/>
  <c r="AI122" i="14"/>
  <c r="AJ122" i="14"/>
  <c r="AK122" i="14"/>
  <c r="AL122" i="14"/>
  <c r="AM122" i="14"/>
  <c r="AN122" i="14"/>
  <c r="AO122" i="14"/>
  <c r="AP122" i="14"/>
  <c r="AQ122" i="14"/>
  <c r="AR122" i="14"/>
  <c r="AS122" i="14"/>
  <c r="AT122" i="14"/>
  <c r="AU122" i="14"/>
  <c r="AV122" i="14"/>
  <c r="AW122" i="14"/>
  <c r="AX122" i="14"/>
  <c r="AY122" i="14"/>
  <c r="AZ122" i="14"/>
  <c r="BA122" i="14"/>
  <c r="BB122" i="14"/>
  <c r="BC122" i="14"/>
  <c r="BD122" i="14"/>
  <c r="BE122" i="14"/>
  <c r="BF122" i="14"/>
  <c r="N123" i="14"/>
  <c r="O123" i="14"/>
  <c r="P123" i="14"/>
  <c r="Q123" i="14"/>
  <c r="R123" i="14"/>
  <c r="S123" i="14"/>
  <c r="T123" i="14"/>
  <c r="U123" i="14"/>
  <c r="V123" i="14"/>
  <c r="W123" i="14"/>
  <c r="X123" i="14"/>
  <c r="Y123" i="14"/>
  <c r="Z123" i="14"/>
  <c r="AA123" i="14"/>
  <c r="AB123" i="14"/>
  <c r="AC123" i="14"/>
  <c r="AD123" i="14"/>
  <c r="AE123" i="14"/>
  <c r="AF123" i="14"/>
  <c r="AG123" i="14"/>
  <c r="AH123" i="14"/>
  <c r="AI123" i="14"/>
  <c r="AJ123" i="14"/>
  <c r="AK123" i="14"/>
  <c r="AL123" i="14"/>
  <c r="AM123" i="14"/>
  <c r="AN123" i="14"/>
  <c r="AO123" i="14"/>
  <c r="AP123" i="14"/>
  <c r="AQ123" i="14"/>
  <c r="AR123" i="14"/>
  <c r="AS123" i="14"/>
  <c r="AT123" i="14"/>
  <c r="AU123" i="14"/>
  <c r="AV123" i="14"/>
  <c r="AW123" i="14"/>
  <c r="AX123" i="14"/>
  <c r="AY123" i="14"/>
  <c r="AZ123" i="14"/>
  <c r="BA123" i="14"/>
  <c r="BB123" i="14"/>
  <c r="BC123" i="14"/>
  <c r="BD123" i="14"/>
  <c r="BE123" i="14"/>
  <c r="BF123" i="14"/>
  <c r="N129" i="14"/>
  <c r="O129" i="14"/>
  <c r="P129" i="14"/>
  <c r="Q129" i="14"/>
  <c r="R129" i="14"/>
  <c r="S129" i="14"/>
  <c r="T129" i="14"/>
  <c r="U129" i="14"/>
  <c r="V129" i="14"/>
  <c r="W129" i="14"/>
  <c r="X129" i="14"/>
  <c r="Y129" i="14"/>
  <c r="Z129" i="14"/>
  <c r="AA129" i="14"/>
  <c r="AB129" i="14"/>
  <c r="AC129" i="14"/>
  <c r="AD129" i="14"/>
  <c r="AE129" i="14"/>
  <c r="AF129" i="14"/>
  <c r="AG129" i="14"/>
  <c r="AH129" i="14"/>
  <c r="AI129" i="14"/>
  <c r="AJ129" i="14"/>
  <c r="AK129" i="14"/>
  <c r="AL129" i="14"/>
  <c r="AM129" i="14"/>
  <c r="AN129" i="14"/>
  <c r="AO129" i="14"/>
  <c r="AP129" i="14"/>
  <c r="AQ129" i="14"/>
  <c r="AR129" i="14"/>
  <c r="AS129" i="14"/>
  <c r="AT129" i="14"/>
  <c r="AU129" i="14"/>
  <c r="AV129" i="14"/>
  <c r="AW129" i="14"/>
  <c r="AX129" i="14"/>
  <c r="AY129" i="14"/>
  <c r="AZ129" i="14"/>
  <c r="BA129" i="14"/>
  <c r="BB129" i="14"/>
  <c r="BC129" i="14"/>
  <c r="BD129" i="14"/>
  <c r="BE129" i="14"/>
  <c r="BF129" i="14"/>
  <c r="BG129" i="14"/>
  <c r="BH129" i="14"/>
  <c r="ED162" i="14"/>
  <c r="N158" i="14"/>
  <c r="O158" i="14"/>
  <c r="P158" i="14"/>
  <c r="Q158" i="14"/>
  <c r="R158" i="14"/>
  <c r="S158" i="14"/>
  <c r="T158" i="14"/>
  <c r="U158" i="14"/>
  <c r="V158" i="14"/>
  <c r="W158" i="14"/>
  <c r="X158" i="14"/>
  <c r="Y158" i="14"/>
  <c r="Z158" i="14"/>
  <c r="AA158" i="14"/>
  <c r="AB158" i="14"/>
  <c r="AC158" i="14"/>
  <c r="AD158" i="14"/>
  <c r="AE158" i="14"/>
  <c r="AF158" i="14"/>
  <c r="AG158" i="14"/>
  <c r="AH158" i="14"/>
  <c r="AI158" i="14"/>
  <c r="AJ158" i="14"/>
  <c r="AK158" i="14"/>
  <c r="AL158" i="14"/>
  <c r="AM158" i="14"/>
  <c r="AN158" i="14"/>
  <c r="AO158" i="14"/>
  <c r="AP158" i="14"/>
  <c r="AQ158" i="14"/>
  <c r="AR158" i="14"/>
  <c r="AS158" i="14"/>
  <c r="AT158" i="14"/>
  <c r="AU158" i="14"/>
  <c r="AV158" i="14"/>
  <c r="AW158" i="14"/>
  <c r="AX158" i="14"/>
  <c r="AY158" i="14"/>
  <c r="AZ158" i="14"/>
  <c r="BA158" i="14"/>
  <c r="BB158" i="14"/>
  <c r="BC158" i="14"/>
  <c r="BD158" i="14"/>
  <c r="BE158" i="14"/>
  <c r="BF158" i="14"/>
  <c r="BG158" i="14"/>
  <c r="BH158" i="14"/>
  <c r="A1" i="25"/>
  <c r="AD6" i="25"/>
  <c r="AD7" i="25"/>
  <c r="AD9" i="25"/>
  <c r="AD10" i="25"/>
  <c r="AD11" i="25"/>
  <c r="AD12" i="25"/>
  <c r="AD13" i="25"/>
  <c r="AD14" i="25"/>
  <c r="AD15" i="25"/>
  <c r="AD16" i="25"/>
  <c r="AD17" i="25"/>
  <c r="AD20" i="25"/>
  <c r="AD26" i="25"/>
  <c r="B5" i="25"/>
  <c r="C5" i="25"/>
  <c r="U5" i="25"/>
  <c r="E5" i="25"/>
  <c r="F5" i="25"/>
  <c r="G5" i="25"/>
  <c r="H5" i="25"/>
  <c r="I5" i="25"/>
  <c r="J5" i="25"/>
  <c r="K5" i="25"/>
  <c r="L5" i="25"/>
  <c r="M5" i="25"/>
  <c r="N5" i="25"/>
  <c r="O5" i="25"/>
  <c r="P5" i="25"/>
  <c r="Q5" i="25"/>
  <c r="R5" i="25"/>
  <c r="S5" i="25"/>
  <c r="T5" i="25"/>
  <c r="W5" i="25"/>
  <c r="X5" i="25"/>
  <c r="Y5" i="25"/>
  <c r="Z5" i="25"/>
  <c r="AA5" i="25"/>
  <c r="AB5" i="25"/>
  <c r="AC5" i="25"/>
  <c r="AF5" i="25"/>
  <c r="AG5" i="25"/>
  <c r="AH5" i="25"/>
  <c r="AI5" i="25"/>
  <c r="AJ5" i="25"/>
  <c r="AM5" i="25"/>
  <c r="AN5" i="25"/>
  <c r="AO5" i="25"/>
  <c r="AP6" i="25"/>
  <c r="AP7" i="25"/>
  <c r="AS8" i="25"/>
  <c r="AT8" i="25"/>
  <c r="AU8" i="25"/>
  <c r="AY7" i="25"/>
  <c r="B8" i="25"/>
  <c r="C8" i="25"/>
  <c r="U8" i="25"/>
  <c r="E8" i="25"/>
  <c r="F8" i="25"/>
  <c r="G8" i="25"/>
  <c r="H8" i="25"/>
  <c r="I8" i="25"/>
  <c r="J8" i="25"/>
  <c r="K8" i="25"/>
  <c r="L8" i="25"/>
  <c r="M8" i="25"/>
  <c r="N8" i="25"/>
  <c r="O8" i="25"/>
  <c r="P8" i="25"/>
  <c r="Q8" i="25"/>
  <c r="R8" i="25"/>
  <c r="S8" i="25"/>
  <c r="T8" i="25"/>
  <c r="W8" i="25"/>
  <c r="X8" i="25"/>
  <c r="Y8" i="25"/>
  <c r="Z8" i="25"/>
  <c r="AA8" i="25"/>
  <c r="AB8" i="25"/>
  <c r="AC8" i="25"/>
  <c r="AF8" i="25"/>
  <c r="AG8" i="25"/>
  <c r="AH8" i="25"/>
  <c r="AI8" i="25"/>
  <c r="AJ8" i="25"/>
  <c r="AM8" i="25"/>
  <c r="AN8" i="25"/>
  <c r="AP9" i="25"/>
  <c r="AP13" i="25"/>
  <c r="AP15" i="25"/>
  <c r="AP12" i="25"/>
  <c r="AP17" i="25"/>
  <c r="AP10" i="25"/>
  <c r="AP16" i="25"/>
  <c r="AP14" i="25"/>
  <c r="AS9" i="25"/>
  <c r="AT9" i="25"/>
  <c r="AU9" i="25"/>
  <c r="AY8" i="25"/>
  <c r="AS7" i="25"/>
  <c r="AT7" i="25"/>
  <c r="AU7" i="25"/>
  <c r="AS10" i="25"/>
  <c r="AT10" i="25"/>
  <c r="AU10" i="25"/>
  <c r="AP11" i="25"/>
  <c r="AS11" i="25"/>
  <c r="AT11" i="25"/>
  <c r="AU11" i="25"/>
  <c r="AP20" i="25"/>
  <c r="AP26" i="25"/>
  <c r="AD22" i="25"/>
  <c r="AP22" i="25"/>
  <c r="AS22" i="25"/>
  <c r="AT22" i="25"/>
  <c r="AU22" i="25"/>
  <c r="AS23" i="25"/>
  <c r="AT23" i="25"/>
  <c r="AU23" i="25"/>
  <c r="AS24" i="25"/>
  <c r="AT24" i="25"/>
  <c r="AU24" i="25"/>
  <c r="AS25" i="25"/>
  <c r="AT25" i="25"/>
  <c r="AU25" i="25"/>
  <c r="AS29" i="25"/>
  <c r="AT29" i="25"/>
  <c r="AU29" i="25"/>
  <c r="B32" i="25"/>
  <c r="C32" i="25"/>
  <c r="U32" i="25"/>
  <c r="E32" i="25"/>
  <c r="F32" i="25"/>
  <c r="G32" i="25"/>
  <c r="H32" i="25"/>
  <c r="I32" i="25"/>
  <c r="J32" i="25"/>
  <c r="K32" i="25"/>
  <c r="L32" i="25"/>
  <c r="M32" i="25"/>
  <c r="N32" i="25"/>
  <c r="O32" i="25"/>
  <c r="P32" i="25"/>
  <c r="Q32" i="25"/>
  <c r="R32" i="25"/>
  <c r="S32" i="25"/>
  <c r="T32" i="25"/>
  <c r="W32" i="25"/>
  <c r="X32" i="25"/>
  <c r="Y32" i="25"/>
  <c r="Z32" i="25"/>
  <c r="AA32" i="25"/>
  <c r="AB32" i="25"/>
  <c r="AC32" i="25"/>
  <c r="AD33" i="25"/>
  <c r="AD34" i="25"/>
  <c r="AS31" i="25"/>
  <c r="AT31" i="25"/>
  <c r="AU31" i="25"/>
  <c r="B35" i="25"/>
  <c r="C35" i="25"/>
  <c r="U35" i="25"/>
  <c r="E35" i="25"/>
  <c r="F35" i="25"/>
  <c r="G35" i="25"/>
  <c r="H35" i="25"/>
  <c r="I35" i="25"/>
  <c r="J35" i="25"/>
  <c r="K35" i="25"/>
  <c r="L35" i="25"/>
  <c r="M35" i="25"/>
  <c r="N35" i="25"/>
  <c r="O35" i="25"/>
  <c r="P35" i="25"/>
  <c r="Q35" i="25"/>
  <c r="R35" i="25"/>
  <c r="S35" i="25"/>
  <c r="T35" i="25"/>
  <c r="W35" i="25"/>
  <c r="X35" i="25"/>
  <c r="Y35" i="25"/>
  <c r="Z35" i="25"/>
  <c r="AA35" i="25"/>
  <c r="AB35" i="25"/>
  <c r="AC35" i="25"/>
  <c r="AD36" i="25"/>
  <c r="AD37" i="25"/>
  <c r="AD38" i="25"/>
  <c r="AD39" i="25"/>
  <c r="AD40" i="25"/>
  <c r="AD41" i="25"/>
  <c r="AD42" i="25"/>
  <c r="AD43" i="25"/>
  <c r="AD44" i="25"/>
  <c r="AD47" i="25"/>
  <c r="AD52" i="25"/>
  <c r="AD49" i="25"/>
  <c r="AJ451" i="27"/>
  <c r="AJ476" i="27"/>
  <c r="AK476" i="27" s="1"/>
  <c r="A1" i="5"/>
  <c r="D96" i="5"/>
  <c r="D99" i="5"/>
  <c r="D5" i="5"/>
  <c r="G96" i="5"/>
  <c r="G99" i="5"/>
  <c r="D6" i="5"/>
  <c r="J96" i="5"/>
  <c r="J99" i="5"/>
  <c r="D7" i="5"/>
  <c r="D8" i="5"/>
  <c r="Z35" i="5"/>
  <c r="Z48" i="5" s="1"/>
  <c r="Z27" i="5"/>
  <c r="Z28" i="5"/>
  <c r="Z21" i="5"/>
  <c r="Z32" i="5"/>
  <c r="Z38" i="5"/>
  <c r="Z23" i="5"/>
  <c r="Z18" i="5"/>
  <c r="Z36" i="5"/>
  <c r="Z16" i="5"/>
  <c r="Z30" i="5"/>
  <c r="Z26" i="5"/>
  <c r="Z22" i="5"/>
  <c r="Z25" i="5"/>
  <c r="Z47" i="5" s="1"/>
  <c r="Z15" i="5"/>
  <c r="Z31" i="5"/>
  <c r="Z33" i="5"/>
  <c r="Z24" i="5"/>
  <c r="Z17" i="5"/>
  <c r="Z19" i="5"/>
  <c r="Z29" i="5"/>
  <c r="Z37" i="5"/>
  <c r="Z41" i="5"/>
  <c r="Z34" i="5"/>
  <c r="Z20" i="5"/>
  <c r="D9" i="5"/>
  <c r="K55" i="5"/>
  <c r="B10" i="5"/>
  <c r="C10" i="5"/>
  <c r="D11" i="5"/>
  <c r="D12" i="5"/>
  <c r="D13" i="5"/>
  <c r="D14" i="5"/>
  <c r="B15" i="5"/>
  <c r="C15" i="5"/>
  <c r="D17" i="5"/>
  <c r="X15" i="5"/>
  <c r="X35" i="5"/>
  <c r="X48" i="5" s="1"/>
  <c r="X27" i="5"/>
  <c r="AJ20" i="5" s="1"/>
  <c r="X28" i="5"/>
  <c r="AJ21" i="5" s="1"/>
  <c r="X21" i="5"/>
  <c r="X32" i="5"/>
  <c r="AJ23" i="5" s="1"/>
  <c r="X38" i="5"/>
  <c r="AJ24" i="5" s="1"/>
  <c r="X23" i="5"/>
  <c r="AJ25" i="5" s="1"/>
  <c r="X18" i="5"/>
  <c r="AJ26" i="5" s="1"/>
  <c r="X36" i="5"/>
  <c r="AJ27" i="5" s="1"/>
  <c r="X16" i="5"/>
  <c r="AJ28" i="5" s="1"/>
  <c r="X30" i="5"/>
  <c r="AJ29" i="5" s="1"/>
  <c r="X26" i="5"/>
  <c r="AJ30" i="5" s="1"/>
  <c r="X22" i="5"/>
  <c r="AJ31" i="5" s="1"/>
  <c r="X25" i="5"/>
  <c r="AJ32" i="5" s="1"/>
  <c r="AJ49" i="5" s="1"/>
  <c r="X31" i="5"/>
  <c r="AJ34" i="5" s="1"/>
  <c r="X33" i="5"/>
  <c r="AJ35" i="5" s="1"/>
  <c r="X24" i="5"/>
  <c r="AJ36" i="5" s="1"/>
  <c r="X17" i="5"/>
  <c r="AJ37" i="5" s="1"/>
  <c r="X19" i="5"/>
  <c r="AJ38" i="5" s="1"/>
  <c r="X29" i="5"/>
  <c r="AJ39" i="5" s="1"/>
  <c r="X37" i="5"/>
  <c r="AJ40" i="5" s="1"/>
  <c r="X41" i="5"/>
  <c r="AJ41" i="5" s="1"/>
  <c r="X34" i="5"/>
  <c r="AJ42" i="5" s="1"/>
  <c r="X20" i="5"/>
  <c r="AJ43" i="5" s="1"/>
  <c r="AB15" i="5"/>
  <c r="AB35" i="5"/>
  <c r="AB48" i="5" s="1"/>
  <c r="AB27" i="5"/>
  <c r="AB28" i="5"/>
  <c r="AB21" i="5"/>
  <c r="AB32" i="5"/>
  <c r="AB38" i="5"/>
  <c r="AB23" i="5"/>
  <c r="AB18" i="5"/>
  <c r="AB36" i="5"/>
  <c r="AB16" i="5"/>
  <c r="AB30" i="5"/>
  <c r="AB26" i="5"/>
  <c r="AB22" i="5"/>
  <c r="AB25" i="5"/>
  <c r="AB47" i="5" s="1"/>
  <c r="AB31" i="5"/>
  <c r="AB33" i="5"/>
  <c r="AB24" i="5"/>
  <c r="AB17" i="5"/>
  <c r="AB19" i="5"/>
  <c r="AB29" i="5"/>
  <c r="AB37" i="5"/>
  <c r="AB41" i="5"/>
  <c r="AB34" i="5"/>
  <c r="AB20" i="5"/>
  <c r="AK45" i="5"/>
  <c r="AK46" i="5"/>
  <c r="AK47" i="5"/>
  <c r="AK48" i="5"/>
  <c r="AK49" i="5"/>
  <c r="AK50" i="5"/>
  <c r="B55" i="5"/>
  <c r="C1" i="27" s="1"/>
  <c r="E55" i="5"/>
  <c r="F55" i="5"/>
  <c r="G55" i="5"/>
  <c r="H55" i="5"/>
  <c r="I55" i="5"/>
  <c r="J55" i="5"/>
  <c r="L61" i="5"/>
  <c r="O61" i="5"/>
  <c r="B96" i="5"/>
  <c r="C96" i="5"/>
  <c r="E96" i="5"/>
  <c r="F96" i="5"/>
  <c r="H96" i="5"/>
  <c r="I96" i="5"/>
  <c r="K96" i="5"/>
  <c r="K99" i="5"/>
  <c r="M96" i="5"/>
  <c r="N96" i="5"/>
  <c r="N99" i="5"/>
  <c r="P96" i="5"/>
  <c r="Q96" i="5"/>
  <c r="R96" i="5"/>
  <c r="S96" i="5"/>
  <c r="B99" i="5"/>
  <c r="C99" i="5"/>
  <c r="E99" i="5"/>
  <c r="F99" i="5"/>
  <c r="H99" i="5"/>
  <c r="I99" i="5"/>
  <c r="M99" i="5"/>
  <c r="P99" i="5"/>
  <c r="Q99" i="5"/>
  <c r="R99" i="5"/>
  <c r="S99" i="5"/>
  <c r="C152" i="5"/>
  <c r="D157" i="5"/>
  <c r="D158" i="5"/>
  <c r="D159" i="5"/>
  <c r="D161" i="5"/>
  <c r="D163" i="5"/>
  <c r="D164" i="5"/>
  <c r="D165" i="5"/>
  <c r="D166" i="5"/>
  <c r="D168" i="5"/>
  <c r="D169" i="5"/>
  <c r="D170" i="5"/>
  <c r="D171" i="5"/>
  <c r="D172" i="5"/>
  <c r="D175" i="5"/>
  <c r="D176" i="5"/>
  <c r="D177" i="5"/>
  <c r="D178" i="5"/>
  <c r="D180" i="5"/>
  <c r="D181" i="5"/>
  <c r="D182" i="5"/>
  <c r="D183" i="5"/>
  <c r="D184" i="5"/>
  <c r="D185" i="5"/>
  <c r="D187" i="5"/>
  <c r="B188" i="5"/>
  <c r="C188" i="5"/>
  <c r="B195" i="5"/>
  <c r="C195" i="5"/>
  <c r="E195" i="5"/>
  <c r="F195" i="5"/>
  <c r="H196" i="5"/>
  <c r="H197" i="5"/>
  <c r="I196" i="5"/>
  <c r="I197" i="5"/>
  <c r="B198" i="5"/>
  <c r="C198" i="5"/>
  <c r="E198" i="5"/>
  <c r="F198" i="5"/>
  <c r="H199" i="5"/>
  <c r="H200" i="5"/>
  <c r="H201" i="5"/>
  <c r="H202" i="5"/>
  <c r="H203" i="5"/>
  <c r="H204" i="5"/>
  <c r="H205" i="5"/>
  <c r="H206" i="5"/>
  <c r="H207" i="5"/>
  <c r="I199" i="5"/>
  <c r="I200" i="5"/>
  <c r="I201" i="5"/>
  <c r="I202" i="5"/>
  <c r="I203" i="5"/>
  <c r="I204" i="5"/>
  <c r="I205" i="5"/>
  <c r="I206" i="5"/>
  <c r="I207" i="5"/>
  <c r="H210" i="5"/>
  <c r="H212" i="5"/>
  <c r="H216" i="5"/>
  <c r="I210" i="5"/>
  <c r="I212" i="5"/>
  <c r="I216" i="5"/>
  <c r="L8" i="29"/>
  <c r="O472" i="27"/>
  <c r="O378" i="27"/>
  <c r="O38" i="27"/>
  <c r="L379" i="27"/>
  <c r="L540" i="27"/>
  <c r="L381" i="27"/>
  <c r="O381" i="27" s="1"/>
  <c r="L380" i="27"/>
  <c r="O380" i="27" s="1"/>
  <c r="O236" i="27"/>
  <c r="O235" i="27"/>
  <c r="O383" i="27"/>
  <c r="O382" i="27"/>
  <c r="O39" i="27"/>
  <c r="O384" i="27"/>
  <c r="O386" i="27"/>
  <c r="O385" i="27"/>
  <c r="O748" i="27"/>
  <c r="O166" i="27"/>
  <c r="O387" i="27"/>
  <c r="O237" i="27"/>
  <c r="O170" i="27"/>
  <c r="AI170" i="27"/>
  <c r="L388" i="27"/>
  <c r="L260" i="27"/>
  <c r="O257" i="27"/>
  <c r="L257" i="27" s="1"/>
  <c r="O171" i="27"/>
  <c r="AI171" i="27"/>
  <c r="O261" i="27"/>
  <c r="O258" i="27"/>
  <c r="O393" i="27"/>
  <c r="O172" i="27"/>
  <c r="AI172" i="27"/>
  <c r="L474" i="27"/>
  <c r="O749" i="27"/>
  <c r="O400" i="27"/>
  <c r="O399" i="27"/>
  <c r="O398" i="27"/>
  <c r="O397" i="27"/>
  <c r="O396" i="27"/>
  <c r="O463" i="27"/>
  <c r="O401" i="27"/>
  <c r="O8" i="27"/>
  <c r="AI8" i="27"/>
  <c r="L542" i="27"/>
  <c r="AI542" i="27"/>
  <c r="O263" i="27"/>
  <c r="O403" i="27"/>
  <c r="O402" i="27"/>
  <c r="O404" i="27"/>
  <c r="O264" i="27"/>
  <c r="O405" i="27"/>
  <c r="O168" i="27"/>
  <c r="O406" i="27"/>
  <c r="L470" i="27"/>
  <c r="O407" i="27"/>
  <c r="O475" i="27"/>
  <c r="AI475" i="27"/>
  <c r="AH477" i="27"/>
  <c r="O750" i="27"/>
  <c r="O409" i="27"/>
  <c r="O408" i="27"/>
  <c r="O410" i="27"/>
  <c r="O265" i="27"/>
  <c r="L412" i="27"/>
  <c r="O413" i="27"/>
  <c r="O266" i="27"/>
  <c r="O416" i="27"/>
  <c r="O415" i="27"/>
  <c r="O414" i="27"/>
  <c r="O198" i="27"/>
  <c r="O267" i="27"/>
  <c r="O40" i="27"/>
  <c r="O41" i="27"/>
  <c r="O268" i="27"/>
  <c r="O478" i="27"/>
  <c r="AK478" i="27"/>
  <c r="O417" i="27"/>
  <c r="AH417" i="27"/>
  <c r="O479" i="27"/>
  <c r="AH479" i="27"/>
  <c r="AI479" i="27" s="1"/>
  <c r="AK479" i="27"/>
  <c r="O269" i="27"/>
  <c r="O418" i="27"/>
  <c r="O270" i="27"/>
  <c r="L419" i="27"/>
  <c r="O420" i="27"/>
  <c r="O167" i="27"/>
  <c r="O421" i="27"/>
  <c r="AI421" i="27"/>
  <c r="O271" i="27"/>
  <c r="O422" i="27"/>
  <c r="O104" i="27"/>
  <c r="O427" i="27"/>
  <c r="O426" i="27"/>
  <c r="O425" i="27"/>
  <c r="O424" i="27"/>
  <c r="O423" i="27"/>
  <c r="O42" i="27"/>
  <c r="O273" i="27"/>
  <c r="O272" i="27"/>
  <c r="O274" i="27"/>
  <c r="O275" i="27"/>
  <c r="O428" i="27"/>
  <c r="O751" i="27"/>
  <c r="O471" i="27"/>
  <c r="AI471" i="27"/>
  <c r="O276" i="27"/>
  <c r="O429" i="27"/>
  <c r="L539" i="27"/>
  <c r="O43" i="27"/>
  <c r="AI43" i="27"/>
  <c r="O430" i="27"/>
  <c r="L430" i="27" s="1"/>
  <c r="L191" i="27"/>
  <c r="AH191" i="27"/>
  <c r="AI191" i="27" s="1"/>
  <c r="L190" i="27"/>
  <c r="AH190" i="27"/>
  <c r="AI190" i="27" s="1"/>
  <c r="L431" i="27"/>
  <c r="L192" i="27"/>
  <c r="AH192" i="27"/>
  <c r="AI192" i="27"/>
  <c r="AN481" i="27"/>
  <c r="AI219" i="27"/>
  <c r="AN219" i="27"/>
  <c r="AI193" i="27"/>
  <c r="L194" i="27"/>
  <c r="L541" i="27"/>
  <c r="L162" i="27"/>
  <c r="AN162" i="27" s="1"/>
  <c r="O161" i="27"/>
  <c r="L160" i="27"/>
  <c r="AI160" i="27"/>
  <c r="O159" i="27"/>
  <c r="AH159" i="27"/>
  <c r="AI159" i="27" s="1"/>
  <c r="L158" i="27"/>
  <c r="AI158" i="27"/>
  <c r="L157" i="27"/>
  <c r="AI157" i="27"/>
  <c r="L156" i="27"/>
  <c r="AI156" i="27"/>
  <c r="O155" i="27"/>
  <c r="AI155" i="27"/>
  <c r="L720" i="27"/>
  <c r="AI720" i="27"/>
  <c r="L433" i="27"/>
  <c r="AH433" i="27"/>
  <c r="AI433" i="27" s="1"/>
  <c r="O432" i="27"/>
  <c r="O434" i="27"/>
  <c r="O142" i="27"/>
  <c r="O141" i="27"/>
  <c r="AI141" i="27"/>
  <c r="O140" i="27"/>
  <c r="AI140" i="27"/>
  <c r="L143" i="27"/>
  <c r="O435" i="27"/>
  <c r="O436" i="27"/>
  <c r="O437" i="27"/>
  <c r="O44" i="27"/>
  <c r="AI44" i="27"/>
  <c r="AI176" i="27"/>
  <c r="L752" i="27"/>
  <c r="O439" i="27"/>
  <c r="L439" i="27" s="1"/>
  <c r="AH439" i="27"/>
  <c r="AI439" i="27" s="1"/>
  <c r="O438" i="27"/>
  <c r="AI438" i="27"/>
  <c r="O440" i="27"/>
  <c r="AI242" i="27"/>
  <c r="O277" i="27"/>
  <c r="AH277" i="27"/>
  <c r="O144" i="27"/>
  <c r="O441" i="27"/>
  <c r="L195" i="27"/>
  <c r="O321" i="27"/>
  <c r="AI321" i="27"/>
  <c r="O177" i="27"/>
  <c r="AH177" i="27"/>
  <c r="O543" i="27"/>
  <c r="O278" i="27"/>
  <c r="L278" i="27" s="1"/>
  <c r="O45" i="27"/>
  <c r="AI45" i="27"/>
  <c r="O442" i="27"/>
  <c r="O443" i="27"/>
  <c r="AH178" i="27"/>
  <c r="O279" i="27"/>
  <c r="AH279" i="27"/>
  <c r="AI279" i="27" s="1"/>
  <c r="O444" i="27"/>
  <c r="AI444" i="27"/>
  <c r="O445" i="27"/>
  <c r="O446" i="27"/>
  <c r="O46" i="27"/>
  <c r="O447" i="27"/>
  <c r="O280" i="27"/>
  <c r="AI280" i="27"/>
  <c r="O483" i="27"/>
  <c r="L47" i="27"/>
  <c r="O145" i="27"/>
  <c r="L163" i="27"/>
  <c r="L449" i="27"/>
  <c r="O106" i="27"/>
  <c r="L106" i="27" s="1"/>
  <c r="AI106" i="27"/>
  <c r="L203" i="27"/>
  <c r="L202" i="27"/>
  <c r="L200" i="27"/>
  <c r="L211" i="27"/>
  <c r="AH211" i="27"/>
  <c r="AI211" i="27" s="1"/>
  <c r="O210" i="27"/>
  <c r="AI209" i="27"/>
  <c r="L208" i="27"/>
  <c r="L206" i="27"/>
  <c r="AI206" i="27"/>
  <c r="O109" i="27"/>
  <c r="L108" i="27"/>
  <c r="AK108" i="27" s="1"/>
  <c r="AI108" i="27"/>
  <c r="O56" i="27"/>
  <c r="AI56" i="27"/>
  <c r="O55" i="27"/>
  <c r="AI55" i="27"/>
  <c r="O54" i="27"/>
  <c r="AI54" i="27"/>
  <c r="O53" i="27"/>
  <c r="AI53" i="27"/>
  <c r="O52" i="27"/>
  <c r="AI52" i="27"/>
  <c r="O51" i="27"/>
  <c r="AI51" i="27"/>
  <c r="O50" i="27"/>
  <c r="AI50" i="27"/>
  <c r="O49" i="27"/>
  <c r="AI49" i="27"/>
  <c r="L212" i="27"/>
  <c r="O48" i="27"/>
  <c r="AI48" i="27"/>
  <c r="L243" i="27"/>
  <c r="AK243" i="27" s="1"/>
  <c r="AJ244" i="27"/>
  <c r="AK244" i="27" s="1"/>
  <c r="O294" i="27"/>
  <c r="AJ294" i="27"/>
  <c r="AK294" i="27" s="1"/>
  <c r="AJ539" i="27"/>
  <c r="AJ485" i="27"/>
  <c r="AK485" i="27" s="1"/>
  <c r="AJ450" i="27"/>
  <c r="AK450" i="27" s="1"/>
  <c r="ED158" i="14" l="1"/>
  <c r="ED118" i="14"/>
  <c r="F149" i="5"/>
  <c r="F150" i="5"/>
  <c r="D149" i="5"/>
  <c r="D150" i="5"/>
  <c r="AA18" i="14"/>
  <c r="AD45" i="25"/>
  <c r="Z54" i="25"/>
  <c r="H54" i="25"/>
  <c r="AB54" i="25"/>
  <c r="AA54" i="25"/>
  <c r="W54" i="25"/>
  <c r="Q54" i="25"/>
  <c r="M54" i="25"/>
  <c r="J54" i="25"/>
  <c r="AC54" i="25"/>
  <c r="Y54" i="25"/>
  <c r="X54" i="25"/>
  <c r="U54" i="25"/>
  <c r="T54" i="25"/>
  <c r="S54" i="25"/>
  <c r="R54" i="25"/>
  <c r="P54" i="25"/>
  <c r="O54" i="25"/>
  <c r="N54" i="25"/>
  <c r="L54" i="25"/>
  <c r="K54" i="25"/>
  <c r="I54" i="25"/>
  <c r="G54" i="25"/>
  <c r="F54" i="25"/>
  <c r="E54" i="25"/>
  <c r="C54" i="25"/>
  <c r="B54" i="25"/>
  <c r="AB45" i="5"/>
  <c r="Z45" i="5"/>
  <c r="AJ22" i="5"/>
  <c r="AJ47" i="5" s="1"/>
  <c r="X45" i="5"/>
  <c r="Z18" i="14"/>
  <c r="AI477" i="27"/>
  <c r="AL477" i="27"/>
  <c r="Z42" i="5"/>
  <c r="X42" i="5"/>
  <c r="AB42" i="5"/>
  <c r="I208" i="5"/>
  <c r="AP18" i="25"/>
  <c r="AD18" i="25"/>
  <c r="H208" i="5"/>
  <c r="ET41" i="14"/>
  <c r="ER41" i="14"/>
  <c r="EQ41" i="14"/>
  <c r="EP41" i="14"/>
  <c r="EO41" i="14"/>
  <c r="FR43" i="14"/>
  <c r="FR41" i="14" s="1"/>
  <c r="EF41" i="14"/>
  <c r="EN41" i="14"/>
  <c r="EL41" i="14"/>
  <c r="EJ41" i="14"/>
  <c r="EH41" i="14"/>
  <c r="EV41" i="14"/>
  <c r="ES41" i="14"/>
  <c r="EM41" i="14"/>
  <c r="EK41" i="14"/>
  <c r="EI41" i="14"/>
  <c r="EG41" i="14"/>
  <c r="FU94" i="14"/>
  <c r="P18" i="14"/>
  <c r="F145" i="5"/>
  <c r="F143" i="5"/>
  <c r="F141" i="5"/>
  <c r="F139" i="5"/>
  <c r="F136" i="5"/>
  <c r="F133" i="5"/>
  <c r="F130" i="5"/>
  <c r="F140" i="5"/>
  <c r="F134" i="5"/>
  <c r="F135" i="5"/>
  <c r="F146" i="5"/>
  <c r="F144" i="5"/>
  <c r="F142" i="5"/>
  <c r="F137" i="5"/>
  <c r="F132" i="5"/>
  <c r="D138" i="5"/>
  <c r="D135" i="5"/>
  <c r="Y19" i="14"/>
  <c r="AU14" i="25"/>
  <c r="F138" i="5"/>
  <c r="F131" i="5"/>
  <c r="FU96" i="14"/>
  <c r="AI177" i="27"/>
  <c r="AL177" i="27"/>
  <c r="E27" i="25"/>
  <c r="U27" i="25"/>
  <c r="V50" i="14"/>
  <c r="X18" i="14"/>
  <c r="AT32" i="25"/>
  <c r="AO27" i="25"/>
  <c r="AT14" i="25"/>
  <c r="F148" i="5"/>
  <c r="F151" i="5"/>
  <c r="F129" i="5"/>
  <c r="F127" i="5"/>
  <c r="F147" i="5"/>
  <c r="F128" i="5"/>
  <c r="F126" i="5"/>
  <c r="D127" i="5"/>
  <c r="D148" i="5"/>
  <c r="D147" i="5"/>
  <c r="W18" i="14"/>
  <c r="W50" i="14"/>
  <c r="Y50" i="14"/>
  <c r="BH50" i="14"/>
  <c r="Z19" i="14"/>
  <c r="FU98" i="14"/>
  <c r="P81" i="14"/>
  <c r="P82" i="14" s="1"/>
  <c r="FU115" i="14"/>
  <c r="FU112" i="14"/>
  <c r="Q81" i="14"/>
  <c r="Q82" i="14" s="1"/>
  <c r="T81" i="14"/>
  <c r="T82" i="14" s="1"/>
  <c r="FU114" i="14"/>
  <c r="FU117" i="14"/>
  <c r="Q50" i="14"/>
  <c r="Z50" i="14"/>
  <c r="FU107" i="14"/>
  <c r="FU104" i="14"/>
  <c r="FU99" i="14"/>
  <c r="FU95" i="14"/>
  <c r="O81" i="14"/>
  <c r="O82" i="14" s="1"/>
  <c r="N81" i="14"/>
  <c r="N82" i="14" s="1"/>
  <c r="BB50" i="14"/>
  <c r="AQ50" i="14"/>
  <c r="O55" i="22"/>
  <c r="EU28" i="14"/>
  <c r="FU101" i="14"/>
  <c r="EU118" i="14"/>
  <c r="EU31" i="14"/>
  <c r="BG50" i="14"/>
  <c r="B217" i="5"/>
  <c r="B219" i="5" s="1"/>
  <c r="AD46" i="5"/>
  <c r="AX81" i="14"/>
  <c r="AX82" i="14" s="1"/>
  <c r="AJ81" i="14"/>
  <c r="AJ82" i="14" s="1"/>
  <c r="AV81" i="14"/>
  <c r="AV82" i="14" s="1"/>
  <c r="AT81" i="14"/>
  <c r="AT82" i="14" s="1"/>
  <c r="AG81" i="14"/>
  <c r="AG82" i="14" s="1"/>
  <c r="AF81" i="14"/>
  <c r="AF82" i="14" s="1"/>
  <c r="AE81" i="14"/>
  <c r="AE82" i="14" s="1"/>
  <c r="AD81" i="14"/>
  <c r="AD82" i="14" s="1"/>
  <c r="AE50" i="14"/>
  <c r="AC50" i="14"/>
  <c r="S50" i="14"/>
  <c r="AD43" i="5"/>
  <c r="AD44" i="5"/>
  <c r="FU113" i="14"/>
  <c r="FU111" i="14"/>
  <c r="FU108" i="14"/>
  <c r="FU106" i="14"/>
  <c r="FU105" i="14"/>
  <c r="FU103" i="14"/>
  <c r="FU100" i="14"/>
  <c r="FU97" i="14"/>
  <c r="FU109" i="14"/>
  <c r="FU91" i="14"/>
  <c r="AB81" i="14"/>
  <c r="AB82" i="14" s="1"/>
  <c r="AS81" i="14"/>
  <c r="AS82" i="14" s="1"/>
  <c r="AR81" i="14"/>
  <c r="AR82" i="14" s="1"/>
  <c r="AQ81" i="14"/>
  <c r="AQ82" i="14" s="1"/>
  <c r="AC81" i="14"/>
  <c r="AC82" i="14" s="1"/>
  <c r="AA81" i="14"/>
  <c r="AA82" i="14" s="1"/>
  <c r="AZ81" i="14"/>
  <c r="AZ82" i="14" s="1"/>
  <c r="BG81" i="14"/>
  <c r="BG82" i="14" s="1"/>
  <c r="BB81" i="14"/>
  <c r="BB82" i="14" s="1"/>
  <c r="BA81" i="14"/>
  <c r="BA82" i="14" s="1"/>
  <c r="AP81" i="14"/>
  <c r="AP82" i="14" s="1"/>
  <c r="AN81" i="14"/>
  <c r="AN82" i="14" s="1"/>
  <c r="AM81" i="14"/>
  <c r="AM82" i="14" s="1"/>
  <c r="AL81" i="14"/>
  <c r="AL82" i="14" s="1"/>
  <c r="AK81" i="14"/>
  <c r="AK82" i="14" s="1"/>
  <c r="Z81" i="14"/>
  <c r="Z82" i="14" s="1"/>
  <c r="Y81" i="14"/>
  <c r="Y82" i="14" s="1"/>
  <c r="X81" i="14"/>
  <c r="X82" i="14" s="1"/>
  <c r="W81" i="14"/>
  <c r="W82" i="14" s="1"/>
  <c r="V81" i="14"/>
  <c r="V82" i="14" s="1"/>
  <c r="U50" i="14"/>
  <c r="BD50" i="14"/>
  <c r="AW50" i="14"/>
  <c r="X50" i="14"/>
  <c r="BE50" i="14"/>
  <c r="AI50" i="14"/>
  <c r="AR50" i="14"/>
  <c r="AZ50" i="14"/>
  <c r="AY50" i="14"/>
  <c r="AX50" i="14"/>
  <c r="AV50" i="14"/>
  <c r="AT50" i="14"/>
  <c r="AJ50" i="14"/>
  <c r="AF50" i="14"/>
  <c r="AD50" i="14"/>
  <c r="T50" i="14"/>
  <c r="P50" i="14"/>
  <c r="N50" i="14"/>
  <c r="AD19" i="14"/>
  <c r="AC18" i="14"/>
  <c r="AB19" i="14"/>
  <c r="X19" i="14"/>
  <c r="V18" i="14"/>
  <c r="R18" i="14"/>
  <c r="X4" i="5"/>
  <c r="AJ19" i="5"/>
  <c r="AJ50" i="5" s="1"/>
  <c r="U81" i="14"/>
  <c r="U82" i="14" s="1"/>
  <c r="FU48" i="14"/>
  <c r="BC50" i="14"/>
  <c r="AA50" i="14"/>
  <c r="AO50" i="14"/>
  <c r="AK50" i="14"/>
  <c r="N19" i="14"/>
  <c r="N18" i="14"/>
  <c r="B18" i="14" s="1"/>
  <c r="BF81" i="14"/>
  <c r="BF82" i="14" s="1"/>
  <c r="AY81" i="14"/>
  <c r="AY82" i="14" s="1"/>
  <c r="AU81" i="14"/>
  <c r="AU82" i="14" s="1"/>
  <c r="AI81" i="14"/>
  <c r="AI82" i="14" s="1"/>
  <c r="S81" i="14"/>
  <c r="S82" i="14" s="1"/>
  <c r="AS50" i="14"/>
  <c r="AP50" i="14"/>
  <c r="AN50" i="14"/>
  <c r="R50" i="14"/>
  <c r="AI178" i="27"/>
  <c r="AL178" i="27"/>
  <c r="AM27" i="25"/>
  <c r="AH81" i="14"/>
  <c r="AH82" i="14" s="1"/>
  <c r="AU50" i="14"/>
  <c r="AL50" i="14"/>
  <c r="AH50" i="14"/>
  <c r="AB50" i="14"/>
  <c r="FU93" i="14"/>
  <c r="AW81" i="14"/>
  <c r="AW82" i="14" s="1"/>
  <c r="BF50" i="14"/>
  <c r="AL453" i="27"/>
  <c r="AI27" i="25"/>
  <c r="AO81" i="14"/>
  <c r="AO82" i="14" s="1"/>
  <c r="FS48" i="14"/>
  <c r="BA50" i="14"/>
  <c r="R81" i="14"/>
  <c r="R82" i="14" s="1"/>
  <c r="AM50" i="14"/>
  <c r="ET28" i="14"/>
  <c r="S19" i="14"/>
  <c r="AL294" i="27"/>
  <c r="AL476" i="27"/>
  <c r="D146" i="5"/>
  <c r="Z43" i="5"/>
  <c r="Z44" i="5"/>
  <c r="D10" i="5"/>
  <c r="O170" i="14"/>
  <c r="P170" i="14" s="1"/>
  <c r="Q170" i="14" s="1"/>
  <c r="R170" i="14" s="1"/>
  <c r="S170" i="14" s="1"/>
  <c r="T170" i="14" s="1"/>
  <c r="U170" i="14" s="1"/>
  <c r="V170" i="14" s="1"/>
  <c r="W170" i="14" s="1"/>
  <c r="X170" i="14" s="1"/>
  <c r="Y170" i="14" s="1"/>
  <c r="Z170" i="14" s="1"/>
  <c r="AA170" i="14" s="1"/>
  <c r="AB170" i="14" s="1"/>
  <c r="AC170" i="14" s="1"/>
  <c r="AD170" i="14" s="1"/>
  <c r="AE170" i="14" s="1"/>
  <c r="AF170" i="14" s="1"/>
  <c r="AG170" i="14" s="1"/>
  <c r="AH170" i="14" s="1"/>
  <c r="AI170" i="14" s="1"/>
  <c r="AJ170" i="14" s="1"/>
  <c r="AK170" i="14" s="1"/>
  <c r="AL170" i="14" s="1"/>
  <c r="AM170" i="14" s="1"/>
  <c r="AN170" i="14" s="1"/>
  <c r="AO170" i="14" s="1"/>
  <c r="AP170" i="14" s="1"/>
  <c r="AQ170" i="14" s="1"/>
  <c r="AR170" i="14" s="1"/>
  <c r="AS170" i="14" s="1"/>
  <c r="AT170" i="14" s="1"/>
  <c r="AU170" i="14" s="1"/>
  <c r="AV170" i="14" s="1"/>
  <c r="AW170" i="14" s="1"/>
  <c r="AX170" i="14" s="1"/>
  <c r="AY170" i="14" s="1"/>
  <c r="AZ170" i="14" s="1"/>
  <c r="BA170" i="14" s="1"/>
  <c r="BB170" i="14" s="1"/>
  <c r="BC170" i="14" s="1"/>
  <c r="BD170" i="14" s="1"/>
  <c r="BE170" i="14" s="1"/>
  <c r="BF170" i="14" s="1"/>
  <c r="BG170" i="14" s="1"/>
  <c r="BH170" i="14" s="1"/>
  <c r="BI170" i="14" s="1"/>
  <c r="BJ170" i="14" s="1"/>
  <c r="BK170" i="14" s="1"/>
  <c r="BL170" i="14" s="1"/>
  <c r="BM170" i="14" s="1"/>
  <c r="BN170" i="14" s="1"/>
  <c r="BO170" i="14" s="1"/>
  <c r="BP170" i="14" s="1"/>
  <c r="BQ170" i="14" s="1"/>
  <c r="BR170" i="14" s="1"/>
  <c r="BS170" i="14" s="1"/>
  <c r="BT170" i="14" s="1"/>
  <c r="BU170" i="14" s="1"/>
  <c r="BV170" i="14" s="1"/>
  <c r="BW170" i="14" s="1"/>
  <c r="BX170" i="14" s="1"/>
  <c r="BY170" i="14" s="1"/>
  <c r="BZ170" i="14" s="1"/>
  <c r="CA170" i="14" s="1"/>
  <c r="CB170" i="14" s="1"/>
  <c r="CC170" i="14" s="1"/>
  <c r="CD170" i="14" s="1"/>
  <c r="CE170" i="14" s="1"/>
  <c r="CF170" i="14" s="1"/>
  <c r="CG170" i="14" s="1"/>
  <c r="CH170" i="14" s="1"/>
  <c r="CI170" i="14" s="1"/>
  <c r="CJ170" i="14" s="1"/>
  <c r="CK170" i="14" s="1"/>
  <c r="CL170" i="14" s="1"/>
  <c r="CM170" i="14" s="1"/>
  <c r="CN170" i="14" s="1"/>
  <c r="CO170" i="14" s="1"/>
  <c r="CP170" i="14" s="1"/>
  <c r="CQ170" i="14" s="1"/>
  <c r="CR170" i="14" s="1"/>
  <c r="CS170" i="14" s="1"/>
  <c r="CT170" i="14" s="1"/>
  <c r="CU170" i="14" s="1"/>
  <c r="CV170" i="14" s="1"/>
  <c r="CW170" i="14" s="1"/>
  <c r="CX170" i="14" s="1"/>
  <c r="CY170" i="14" s="1"/>
  <c r="CZ170" i="14" s="1"/>
  <c r="DA170" i="14" s="1"/>
  <c r="DB170" i="14" s="1"/>
  <c r="DC170" i="14" s="1"/>
  <c r="DD170" i="14" s="1"/>
  <c r="DE170" i="14" s="1"/>
  <c r="DF170" i="14" s="1"/>
  <c r="DG170" i="14" s="1"/>
  <c r="DH170" i="14" s="1"/>
  <c r="DI170" i="14" s="1"/>
  <c r="DJ170" i="14" s="1"/>
  <c r="DK170" i="14" s="1"/>
  <c r="DL170" i="14" s="1"/>
  <c r="DM170" i="14" s="1"/>
  <c r="DN170" i="14" s="1"/>
  <c r="DO170" i="14" s="1"/>
  <c r="DP170" i="14" s="1"/>
  <c r="DQ170" i="14" s="1"/>
  <c r="DR170" i="14" s="1"/>
  <c r="DS170" i="14" s="1"/>
  <c r="DT170" i="14" s="1"/>
  <c r="DU170" i="14" s="1"/>
  <c r="DV170" i="14" s="1"/>
  <c r="DW170" i="14" s="1"/>
  <c r="DX170" i="14" s="1"/>
  <c r="DY170" i="14" s="1"/>
  <c r="DZ170" i="14" s="1"/>
  <c r="EA170" i="14" s="1"/>
  <c r="EB170" i="14" s="1"/>
  <c r="EC170" i="14" s="1"/>
  <c r="FV114" i="14"/>
  <c r="FV104" i="14"/>
  <c r="FU102" i="14"/>
  <c r="ED120" i="14"/>
  <c r="O50" i="14"/>
  <c r="BT50" i="14"/>
  <c r="Y18" i="14"/>
  <c r="B27" i="25"/>
  <c r="T27" i="25"/>
  <c r="P27" i="25"/>
  <c r="L27" i="25"/>
  <c r="Z27" i="25"/>
  <c r="H27" i="25"/>
  <c r="D15" i="5"/>
  <c r="B16" i="5"/>
  <c r="FU116" i="14"/>
  <c r="FV108" i="14"/>
  <c r="FV100" i="14"/>
  <c r="FT98" i="14"/>
  <c r="FV97" i="14"/>
  <c r="FV93" i="14"/>
  <c r="FV109" i="14"/>
  <c r="BI81" i="14"/>
  <c r="BI82" i="14" s="1"/>
  <c r="BD81" i="14"/>
  <c r="BD82" i="14" s="1"/>
  <c r="BU81" i="14"/>
  <c r="BU82" i="14" s="1"/>
  <c r="BM81" i="14"/>
  <c r="BM82" i="14" s="1"/>
  <c r="ED59" i="14"/>
  <c r="FV49" i="14"/>
  <c r="FV43" i="14"/>
  <c r="AG50" i="14"/>
  <c r="FV38" i="14"/>
  <c r="FV35" i="14"/>
  <c r="FT34" i="14"/>
  <c r="BU50" i="14"/>
  <c r="FU33" i="14"/>
  <c r="BL50" i="14"/>
  <c r="BK50" i="14"/>
  <c r="EV28" i="14"/>
  <c r="FV30" i="14"/>
  <c r="ES28" i="14"/>
  <c r="ED28" i="14"/>
  <c r="AB18" i="14"/>
  <c r="U18" i="14"/>
  <c r="S18" i="14"/>
  <c r="Q18" i="14"/>
  <c r="O18" i="14"/>
  <c r="AG27" i="25"/>
  <c r="AV32" i="25"/>
  <c r="AP5" i="25"/>
  <c r="AB27" i="25"/>
  <c r="R27" i="25"/>
  <c r="J27" i="25"/>
  <c r="AZ14" i="25"/>
  <c r="X27" i="25"/>
  <c r="N27" i="25"/>
  <c r="F27" i="25"/>
  <c r="E217" i="5"/>
  <c r="F217" i="5"/>
  <c r="C217" i="5"/>
  <c r="H195" i="5"/>
  <c r="D140" i="5"/>
  <c r="D129" i="5"/>
  <c r="D144" i="5"/>
  <c r="D131" i="5"/>
  <c r="D142" i="5"/>
  <c r="D132" i="5"/>
  <c r="D134" i="5"/>
  <c r="D130" i="5"/>
  <c r="S118" i="5"/>
  <c r="Q118" i="5"/>
  <c r="H118" i="5"/>
  <c r="B118" i="5"/>
  <c r="R118" i="5"/>
  <c r="P118" i="5"/>
  <c r="N118" i="5"/>
  <c r="O114" i="5" s="1"/>
  <c r="K118" i="5"/>
  <c r="E118" i="5"/>
  <c r="L62" i="5"/>
  <c r="L78" i="5"/>
  <c r="L88" i="5"/>
  <c r="L70" i="5"/>
  <c r="L84" i="5"/>
  <c r="L74" i="5"/>
  <c r="L66" i="5"/>
  <c r="L86" i="5"/>
  <c r="L82" i="5"/>
  <c r="L76" i="5"/>
  <c r="L72" i="5"/>
  <c r="L68" i="5"/>
  <c r="L64" i="5"/>
  <c r="L87" i="5"/>
  <c r="L85" i="5"/>
  <c r="L83" i="5"/>
  <c r="L79" i="5"/>
  <c r="L77" i="5"/>
  <c r="L75" i="5"/>
  <c r="L73" i="5"/>
  <c r="L71" i="5"/>
  <c r="L69" i="5"/>
  <c r="L67" i="5"/>
  <c r="L65" i="5"/>
  <c r="L80" i="5"/>
  <c r="AJ45" i="5"/>
  <c r="AB43" i="5"/>
  <c r="X43" i="5"/>
  <c r="X47" i="5"/>
  <c r="Z46" i="5"/>
  <c r="AB46" i="5"/>
  <c r="X46" i="5"/>
  <c r="AB44" i="5"/>
  <c r="ED163" i="14"/>
  <c r="ED160" i="14"/>
  <c r="O168" i="14"/>
  <c r="P168" i="14" s="1"/>
  <c r="Q168" i="14" s="1"/>
  <c r="R168" i="14" s="1"/>
  <c r="S168" i="14" s="1"/>
  <c r="T168" i="14" s="1"/>
  <c r="U168" i="14" s="1"/>
  <c r="V168" i="14" s="1"/>
  <c r="W168" i="14" s="1"/>
  <c r="X168" i="14" s="1"/>
  <c r="Y168" i="14" s="1"/>
  <c r="Z168" i="14" s="1"/>
  <c r="AA168" i="14" s="1"/>
  <c r="AB168" i="14" s="1"/>
  <c r="ED161" i="14"/>
  <c r="O166" i="14"/>
  <c r="P166" i="14" s="1"/>
  <c r="Q166" i="14" s="1"/>
  <c r="R166" i="14" s="1"/>
  <c r="S166" i="14" s="1"/>
  <c r="T166" i="14" s="1"/>
  <c r="U166" i="14" s="1"/>
  <c r="V166" i="14" s="1"/>
  <c r="W166" i="14" s="1"/>
  <c r="X166" i="14" s="1"/>
  <c r="Y166" i="14" s="1"/>
  <c r="Z166" i="14" s="1"/>
  <c r="AA166" i="14" s="1"/>
  <c r="AB166" i="14" s="1"/>
  <c r="AC166" i="14" s="1"/>
  <c r="AD166" i="14" s="1"/>
  <c r="AE166" i="14" s="1"/>
  <c r="AF166" i="14" s="1"/>
  <c r="AG166" i="14" s="1"/>
  <c r="AH166" i="14" s="1"/>
  <c r="AI166" i="14" s="1"/>
  <c r="AJ166" i="14" s="1"/>
  <c r="AK166" i="14" s="1"/>
  <c r="AL166" i="14" s="1"/>
  <c r="AM166" i="14" s="1"/>
  <c r="AN166" i="14" s="1"/>
  <c r="AO166" i="14" s="1"/>
  <c r="AP166" i="14" s="1"/>
  <c r="AQ166" i="14" s="1"/>
  <c r="AR166" i="14" s="1"/>
  <c r="AS166" i="14" s="1"/>
  <c r="AT166" i="14" s="1"/>
  <c r="AU166" i="14" s="1"/>
  <c r="AV166" i="14" s="1"/>
  <c r="AW166" i="14" s="1"/>
  <c r="AX166" i="14" s="1"/>
  <c r="AY166" i="14" s="1"/>
  <c r="AZ166" i="14" s="1"/>
  <c r="BA166" i="14" s="1"/>
  <c r="BB166" i="14" s="1"/>
  <c r="BC166" i="14" s="1"/>
  <c r="BD166" i="14" s="1"/>
  <c r="BE166" i="14" s="1"/>
  <c r="BF166" i="14" s="1"/>
  <c r="BG166" i="14" s="1"/>
  <c r="BH166" i="14" s="1"/>
  <c r="BI166" i="14" s="1"/>
  <c r="BJ166" i="14" s="1"/>
  <c r="BK166" i="14" s="1"/>
  <c r="BL166" i="14" s="1"/>
  <c r="BM166" i="14" s="1"/>
  <c r="BN166" i="14" s="1"/>
  <c r="BO166" i="14" s="1"/>
  <c r="BP166" i="14" s="1"/>
  <c r="BQ166" i="14" s="1"/>
  <c r="BR166" i="14" s="1"/>
  <c r="BS166" i="14" s="1"/>
  <c r="BT166" i="14" s="1"/>
  <c r="BU166" i="14" s="1"/>
  <c r="BV166" i="14" s="1"/>
  <c r="BW166" i="14" s="1"/>
  <c r="BX166" i="14" s="1"/>
  <c r="BY166" i="14" s="1"/>
  <c r="BZ166" i="14" s="1"/>
  <c r="CA166" i="14" s="1"/>
  <c r="CB166" i="14" s="1"/>
  <c r="CC166" i="14" s="1"/>
  <c r="CD166" i="14" s="1"/>
  <c r="CE166" i="14" s="1"/>
  <c r="CF166" i="14" s="1"/>
  <c r="CG166" i="14" s="1"/>
  <c r="CH166" i="14" s="1"/>
  <c r="CI166" i="14" s="1"/>
  <c r="CJ166" i="14" s="1"/>
  <c r="CK166" i="14" s="1"/>
  <c r="CL166" i="14" s="1"/>
  <c r="CM166" i="14" s="1"/>
  <c r="CN166" i="14" s="1"/>
  <c r="CO166" i="14" s="1"/>
  <c r="CP166" i="14" s="1"/>
  <c r="CQ166" i="14" s="1"/>
  <c r="CR166" i="14" s="1"/>
  <c r="CS166" i="14" s="1"/>
  <c r="CT166" i="14" s="1"/>
  <c r="CU166" i="14" s="1"/>
  <c r="CV166" i="14" s="1"/>
  <c r="CW166" i="14" s="1"/>
  <c r="CX166" i="14" s="1"/>
  <c r="CY166" i="14" s="1"/>
  <c r="CZ166" i="14" s="1"/>
  <c r="DA166" i="14" s="1"/>
  <c r="DB166" i="14" s="1"/>
  <c r="DC166" i="14" s="1"/>
  <c r="DD166" i="14" s="1"/>
  <c r="DE166" i="14" s="1"/>
  <c r="DF166" i="14" s="1"/>
  <c r="DG166" i="14" s="1"/>
  <c r="DH166" i="14" s="1"/>
  <c r="DI166" i="14" s="1"/>
  <c r="DJ166" i="14" s="1"/>
  <c r="DK166" i="14" s="1"/>
  <c r="DL166" i="14" s="1"/>
  <c r="DM166" i="14" s="1"/>
  <c r="DN166" i="14" s="1"/>
  <c r="DO166" i="14" s="1"/>
  <c r="DP166" i="14" s="1"/>
  <c r="DQ166" i="14" s="1"/>
  <c r="DR166" i="14" s="1"/>
  <c r="DS166" i="14" s="1"/>
  <c r="DT166" i="14" s="1"/>
  <c r="DU166" i="14" s="1"/>
  <c r="DV166" i="14" s="1"/>
  <c r="DW166" i="14" s="1"/>
  <c r="DX166" i="14" s="1"/>
  <c r="DY166" i="14" s="1"/>
  <c r="DZ166" i="14" s="1"/>
  <c r="EA166" i="14" s="1"/>
  <c r="EB166" i="14" s="1"/>
  <c r="EC166" i="14" s="1"/>
  <c r="O167" i="14"/>
  <c r="P167" i="14" s="1"/>
  <c r="Q167" i="14" s="1"/>
  <c r="R167" i="14" s="1"/>
  <c r="S167" i="14" s="1"/>
  <c r="T167" i="14" s="1"/>
  <c r="U167" i="14" s="1"/>
  <c r="V167" i="14" s="1"/>
  <c r="W167" i="14" s="1"/>
  <c r="X167" i="14" s="1"/>
  <c r="Y167" i="14" s="1"/>
  <c r="Z167" i="14" s="1"/>
  <c r="AA167" i="14" s="1"/>
  <c r="AB167" i="14" s="1"/>
  <c r="AC167" i="14" s="1"/>
  <c r="AD167" i="14" s="1"/>
  <c r="AE167" i="14" s="1"/>
  <c r="AF167" i="14" s="1"/>
  <c r="AG167" i="14" s="1"/>
  <c r="AH167" i="14" s="1"/>
  <c r="AI167" i="14" s="1"/>
  <c r="AJ167" i="14" s="1"/>
  <c r="AK167" i="14" s="1"/>
  <c r="AL167" i="14" s="1"/>
  <c r="AM167" i="14" s="1"/>
  <c r="AN167" i="14" s="1"/>
  <c r="AO167" i="14" s="1"/>
  <c r="AP167" i="14" s="1"/>
  <c r="AQ167" i="14" s="1"/>
  <c r="AR167" i="14" s="1"/>
  <c r="AS167" i="14" s="1"/>
  <c r="AT167" i="14" s="1"/>
  <c r="AU167" i="14" s="1"/>
  <c r="AV167" i="14" s="1"/>
  <c r="AW167" i="14" s="1"/>
  <c r="AX167" i="14" s="1"/>
  <c r="AY167" i="14" s="1"/>
  <c r="AZ167" i="14" s="1"/>
  <c r="BA167" i="14" s="1"/>
  <c r="BB167" i="14" s="1"/>
  <c r="BC167" i="14" s="1"/>
  <c r="BD167" i="14" s="1"/>
  <c r="BE167" i="14" s="1"/>
  <c r="BF167" i="14" s="1"/>
  <c r="BG167" i="14" s="1"/>
  <c r="BH167" i="14" s="1"/>
  <c r="BI167" i="14" s="1"/>
  <c r="BJ167" i="14" s="1"/>
  <c r="BK167" i="14" s="1"/>
  <c r="BL167" i="14" s="1"/>
  <c r="BM167" i="14" s="1"/>
  <c r="BN167" i="14" s="1"/>
  <c r="BO167" i="14" s="1"/>
  <c r="BP167" i="14" s="1"/>
  <c r="BQ167" i="14" s="1"/>
  <c r="BR167" i="14" s="1"/>
  <c r="BS167" i="14" s="1"/>
  <c r="BT167" i="14" s="1"/>
  <c r="BU167" i="14" s="1"/>
  <c r="BV167" i="14" s="1"/>
  <c r="BW167" i="14" s="1"/>
  <c r="BX167" i="14" s="1"/>
  <c r="BY167" i="14" s="1"/>
  <c r="BZ167" i="14" s="1"/>
  <c r="CA167" i="14" s="1"/>
  <c r="CB167" i="14" s="1"/>
  <c r="CC167" i="14" s="1"/>
  <c r="CD167" i="14" s="1"/>
  <c r="CE167" i="14" s="1"/>
  <c r="CF167" i="14" s="1"/>
  <c r="CG167" i="14" s="1"/>
  <c r="CH167" i="14" s="1"/>
  <c r="CI167" i="14" s="1"/>
  <c r="CJ167" i="14" s="1"/>
  <c r="CK167" i="14" s="1"/>
  <c r="CL167" i="14" s="1"/>
  <c r="CM167" i="14" s="1"/>
  <c r="CN167" i="14" s="1"/>
  <c r="CO167" i="14" s="1"/>
  <c r="CP167" i="14" s="1"/>
  <c r="CQ167" i="14" s="1"/>
  <c r="CR167" i="14" s="1"/>
  <c r="CS167" i="14" s="1"/>
  <c r="CT167" i="14" s="1"/>
  <c r="CU167" i="14" s="1"/>
  <c r="CV167" i="14" s="1"/>
  <c r="CW167" i="14" s="1"/>
  <c r="CX167" i="14" s="1"/>
  <c r="CY167" i="14" s="1"/>
  <c r="CZ167" i="14" s="1"/>
  <c r="DA167" i="14" s="1"/>
  <c r="DB167" i="14" s="1"/>
  <c r="DC167" i="14" s="1"/>
  <c r="DD167" i="14" s="1"/>
  <c r="DE167" i="14" s="1"/>
  <c r="DF167" i="14" s="1"/>
  <c r="DG167" i="14" s="1"/>
  <c r="DH167" i="14" s="1"/>
  <c r="DI167" i="14" s="1"/>
  <c r="DJ167" i="14" s="1"/>
  <c r="DK167" i="14" s="1"/>
  <c r="DL167" i="14" s="1"/>
  <c r="DM167" i="14" s="1"/>
  <c r="DN167" i="14" s="1"/>
  <c r="DO167" i="14" s="1"/>
  <c r="DP167" i="14" s="1"/>
  <c r="DQ167" i="14" s="1"/>
  <c r="DR167" i="14" s="1"/>
  <c r="DS167" i="14" s="1"/>
  <c r="DT167" i="14" s="1"/>
  <c r="DU167" i="14" s="1"/>
  <c r="DV167" i="14" s="1"/>
  <c r="DW167" i="14" s="1"/>
  <c r="DX167" i="14" s="1"/>
  <c r="DY167" i="14" s="1"/>
  <c r="DZ167" i="14" s="1"/>
  <c r="EA167" i="14" s="1"/>
  <c r="EB167" i="14" s="1"/>
  <c r="EC167" i="14" s="1"/>
  <c r="O171" i="14"/>
  <c r="P171" i="14" s="1"/>
  <c r="Q171" i="14" s="1"/>
  <c r="R171" i="14" s="1"/>
  <c r="S171" i="14" s="1"/>
  <c r="T171" i="14" s="1"/>
  <c r="U171" i="14" s="1"/>
  <c r="V171" i="14" s="1"/>
  <c r="W171" i="14" s="1"/>
  <c r="X171" i="14" s="1"/>
  <c r="Y171" i="14" s="1"/>
  <c r="Z171" i="14" s="1"/>
  <c r="AA171" i="14" s="1"/>
  <c r="AB171" i="14" s="1"/>
  <c r="AC171" i="14" s="1"/>
  <c r="AD171" i="14" s="1"/>
  <c r="AE171" i="14" s="1"/>
  <c r="AF171" i="14" s="1"/>
  <c r="AG171" i="14" s="1"/>
  <c r="AH171" i="14" s="1"/>
  <c r="AI171" i="14" s="1"/>
  <c r="AJ171" i="14" s="1"/>
  <c r="AK171" i="14" s="1"/>
  <c r="AL171" i="14" s="1"/>
  <c r="AM171" i="14" s="1"/>
  <c r="AN171" i="14" s="1"/>
  <c r="AO171" i="14" s="1"/>
  <c r="AP171" i="14" s="1"/>
  <c r="AQ171" i="14" s="1"/>
  <c r="AR171" i="14" s="1"/>
  <c r="AS171" i="14" s="1"/>
  <c r="AT171" i="14" s="1"/>
  <c r="AU171" i="14" s="1"/>
  <c r="AV171" i="14" s="1"/>
  <c r="AW171" i="14" s="1"/>
  <c r="AX171" i="14" s="1"/>
  <c r="AY171" i="14" s="1"/>
  <c r="AZ171" i="14" s="1"/>
  <c r="BA171" i="14" s="1"/>
  <c r="BB171" i="14" s="1"/>
  <c r="BC171" i="14" s="1"/>
  <c r="BD171" i="14" s="1"/>
  <c r="BE171" i="14" s="1"/>
  <c r="BF171" i="14" s="1"/>
  <c r="BG171" i="14" s="1"/>
  <c r="BH171" i="14" s="1"/>
  <c r="BI171" i="14" s="1"/>
  <c r="BJ171" i="14" s="1"/>
  <c r="BK171" i="14" s="1"/>
  <c r="BL171" i="14" s="1"/>
  <c r="BM171" i="14" s="1"/>
  <c r="BN171" i="14" s="1"/>
  <c r="BO171" i="14" s="1"/>
  <c r="BP171" i="14" s="1"/>
  <c r="BQ171" i="14" s="1"/>
  <c r="BR171" i="14" s="1"/>
  <c r="BS171" i="14" s="1"/>
  <c r="BT171" i="14" s="1"/>
  <c r="BU171" i="14" s="1"/>
  <c r="BV171" i="14" s="1"/>
  <c r="N172" i="14"/>
  <c r="FV117" i="14"/>
  <c r="FT117" i="14"/>
  <c r="FS117" i="14"/>
  <c r="FV116" i="14"/>
  <c r="FS116" i="14"/>
  <c r="FV115" i="14"/>
  <c r="FT115" i="14"/>
  <c r="FS115" i="14"/>
  <c r="FT114" i="14"/>
  <c r="FS114" i="14"/>
  <c r="FV113" i="14"/>
  <c r="FT113" i="14"/>
  <c r="FS113" i="14"/>
  <c r="FV112" i="14"/>
  <c r="FT112" i="14"/>
  <c r="FS112" i="14"/>
  <c r="ED123" i="14"/>
  <c r="FV111" i="14"/>
  <c r="FT111" i="14"/>
  <c r="FS111" i="14"/>
  <c r="FT108" i="14"/>
  <c r="FS108" i="14"/>
  <c r="FV107" i="14"/>
  <c r="FT107" i="14"/>
  <c r="FS107" i="14"/>
  <c r="FV106" i="14"/>
  <c r="FT106" i="14"/>
  <c r="FS106" i="14"/>
  <c r="FV105" i="14"/>
  <c r="FT105" i="14"/>
  <c r="FS105" i="14"/>
  <c r="FT104" i="14"/>
  <c r="FS104" i="14"/>
  <c r="FV103" i="14"/>
  <c r="FT103" i="14"/>
  <c r="FS103" i="14"/>
  <c r="FV102" i="14"/>
  <c r="FT102" i="14"/>
  <c r="FS102" i="14"/>
  <c r="FV101" i="14"/>
  <c r="FT101" i="14"/>
  <c r="FS101" i="14"/>
  <c r="FT100" i="14"/>
  <c r="FS100" i="14"/>
  <c r="FV99" i="14"/>
  <c r="FT99" i="14"/>
  <c r="FS99" i="14"/>
  <c r="FV98" i="14"/>
  <c r="FS98" i="14"/>
  <c r="ED121" i="14"/>
  <c r="FT97" i="14"/>
  <c r="FS97" i="14"/>
  <c r="FV96" i="14"/>
  <c r="EV118" i="14"/>
  <c r="EV124" i="14" s="1"/>
  <c r="ET118" i="14"/>
  <c r="ET124" i="14" s="1"/>
  <c r="FT96" i="14"/>
  <c r="FS96" i="14"/>
  <c r="FV95" i="14"/>
  <c r="FT95" i="14"/>
  <c r="FS95" i="14"/>
  <c r="FV94" i="14"/>
  <c r="FT94" i="14"/>
  <c r="FS94" i="14"/>
  <c r="FT93" i="14"/>
  <c r="FS93" i="14"/>
  <c r="FT109" i="14"/>
  <c r="FS109" i="14"/>
  <c r="EG118" i="14"/>
  <c r="EG123" i="14" s="1"/>
  <c r="FV91" i="14"/>
  <c r="FT91" i="14"/>
  <c r="FS91" i="14"/>
  <c r="ES118" i="14"/>
  <c r="ES124" i="14" s="1"/>
  <c r="FV90" i="14"/>
  <c r="ER118" i="14"/>
  <c r="ER120" i="14" s="1"/>
  <c r="EQ118" i="14"/>
  <c r="EQ124" i="14" s="1"/>
  <c r="FU90" i="14"/>
  <c r="EP118" i="14"/>
  <c r="EO118" i="14"/>
  <c r="EO122" i="14" s="1"/>
  <c r="EN118" i="14"/>
  <c r="EN119" i="14" s="1"/>
  <c r="EM118" i="14"/>
  <c r="EM124" i="14" s="1"/>
  <c r="FT90" i="14"/>
  <c r="EL118" i="14"/>
  <c r="EL121" i="14" s="1"/>
  <c r="EK118" i="14"/>
  <c r="EK124" i="14" s="1"/>
  <c r="EJ118" i="14"/>
  <c r="EJ119" i="14" s="1"/>
  <c r="FS90" i="14"/>
  <c r="EI118" i="14"/>
  <c r="EI123" i="14" s="1"/>
  <c r="EH118" i="14"/>
  <c r="EH119" i="14" s="1"/>
  <c r="EF118" i="14"/>
  <c r="FR118" i="14" s="1"/>
  <c r="BO81" i="14"/>
  <c r="BO82" i="14" s="1"/>
  <c r="BQ81" i="14"/>
  <c r="BQ82" i="14" s="1"/>
  <c r="BT81" i="14"/>
  <c r="BT82" i="14" s="1"/>
  <c r="BS81" i="14"/>
  <c r="BS82" i="14" s="1"/>
  <c r="BR81" i="14"/>
  <c r="BR82" i="14" s="1"/>
  <c r="BP81" i="14"/>
  <c r="BP82" i="14" s="1"/>
  <c r="BE81" i="14"/>
  <c r="BE82" i="14" s="1"/>
  <c r="ED62" i="14"/>
  <c r="BN81" i="14"/>
  <c r="BN82" i="14" s="1"/>
  <c r="BL81" i="14"/>
  <c r="BL82" i="14" s="1"/>
  <c r="BK81" i="14"/>
  <c r="BK82" i="14" s="1"/>
  <c r="BJ81" i="14"/>
  <c r="BJ82" i="14" s="1"/>
  <c r="BH81" i="14"/>
  <c r="BH82" i="14" s="1"/>
  <c r="BC81" i="14"/>
  <c r="BC82" i="14" s="1"/>
  <c r="FU49" i="14"/>
  <c r="FT49" i="14"/>
  <c r="FS49" i="14"/>
  <c r="FV48" i="14"/>
  <c r="FT48" i="14"/>
  <c r="FV45" i="14"/>
  <c r="FU45" i="14"/>
  <c r="FT45" i="14"/>
  <c r="FS45" i="14"/>
  <c r="FU43" i="14"/>
  <c r="FT43" i="14"/>
  <c r="FS43" i="14"/>
  <c r="ET31" i="14"/>
  <c r="FV40" i="14"/>
  <c r="BJ50" i="14"/>
  <c r="FU40" i="14"/>
  <c r="FT40" i="14"/>
  <c r="FS40" i="14"/>
  <c r="FV39" i="14"/>
  <c r="BN50" i="14"/>
  <c r="FU39" i="14"/>
  <c r="FT39" i="14"/>
  <c r="FS39" i="14"/>
  <c r="FU38" i="14"/>
  <c r="FT38" i="14"/>
  <c r="FS38" i="14"/>
  <c r="EV31" i="14"/>
  <c r="FV37" i="14"/>
  <c r="FU37" i="14"/>
  <c r="FT37" i="14"/>
  <c r="FS37" i="14"/>
  <c r="FV36" i="14"/>
  <c r="FU36" i="14"/>
  <c r="FT36" i="14"/>
  <c r="EK31" i="14"/>
  <c r="FS36" i="14"/>
  <c r="ES31" i="14"/>
  <c r="FU35" i="14"/>
  <c r="FT35" i="14"/>
  <c r="FS35" i="14"/>
  <c r="FV34" i="14"/>
  <c r="BO50" i="14"/>
  <c r="FU34" i="14"/>
  <c r="EL31" i="14"/>
  <c r="FS34" i="14"/>
  <c r="FV33" i="14"/>
  <c r="BR50" i="14"/>
  <c r="BP50" i="14"/>
  <c r="BI50" i="14"/>
  <c r="ER31" i="14"/>
  <c r="EQ31" i="14"/>
  <c r="EO31" i="14"/>
  <c r="EM31" i="14"/>
  <c r="FT33" i="14"/>
  <c r="EI31" i="14"/>
  <c r="FS33" i="14"/>
  <c r="EG31" i="14"/>
  <c r="ED31" i="14"/>
  <c r="FV32" i="14"/>
  <c r="BS50" i="14"/>
  <c r="BQ50" i="14"/>
  <c r="BM50" i="14"/>
  <c r="EP31" i="14"/>
  <c r="FU32" i="14"/>
  <c r="EN31" i="14"/>
  <c r="FT32" i="14"/>
  <c r="EJ31" i="14"/>
  <c r="FS32" i="14"/>
  <c r="EH31" i="14"/>
  <c r="EF31" i="14"/>
  <c r="FR31" i="14" s="1"/>
  <c r="ER28" i="14"/>
  <c r="FU30" i="14"/>
  <c r="EO28" i="14"/>
  <c r="FT30" i="14"/>
  <c r="EM28" i="14"/>
  <c r="FS30" i="14"/>
  <c r="EI28" i="14"/>
  <c r="EG28" i="14"/>
  <c r="FV29" i="14"/>
  <c r="EQ28" i="14"/>
  <c r="FU29" i="14"/>
  <c r="EP28" i="14"/>
  <c r="EN28" i="14"/>
  <c r="FT29" i="14"/>
  <c r="EL28" i="14"/>
  <c r="EK28" i="14"/>
  <c r="EJ28" i="14"/>
  <c r="FS29" i="14"/>
  <c r="EH28" i="14"/>
  <c r="EF28" i="14"/>
  <c r="FR28" i="14" s="1"/>
  <c r="AD18" i="14"/>
  <c r="AC19" i="14"/>
  <c r="AA19" i="14"/>
  <c r="W19" i="14"/>
  <c r="V19" i="14"/>
  <c r="U19" i="14"/>
  <c r="T18" i="14"/>
  <c r="T19" i="14"/>
  <c r="B8" i="14"/>
  <c r="R19" i="14"/>
  <c r="Q19" i="14"/>
  <c r="P19" i="14"/>
  <c r="O19" i="14"/>
  <c r="AK453" i="27"/>
  <c r="AK548" i="27"/>
  <c r="AL479" i="27"/>
  <c r="AD5" i="25"/>
  <c r="AD35" i="25"/>
  <c r="AP8" i="25"/>
  <c r="AN27" i="25"/>
  <c r="AJ27" i="25"/>
  <c r="AH27" i="25"/>
  <c r="AF27" i="25"/>
  <c r="AC27" i="25"/>
  <c r="AA27" i="25"/>
  <c r="Y27" i="25"/>
  <c r="W27" i="25"/>
  <c r="S27" i="25"/>
  <c r="Q27" i="25"/>
  <c r="O27" i="25"/>
  <c r="M27" i="25"/>
  <c r="K27" i="25"/>
  <c r="I27" i="25"/>
  <c r="G27" i="25"/>
  <c r="C27" i="25"/>
  <c r="BA14" i="25"/>
  <c r="AD32" i="25"/>
  <c r="AU32" i="25"/>
  <c r="AD8" i="25"/>
  <c r="M118" i="5"/>
  <c r="H198" i="5"/>
  <c r="D188" i="5"/>
  <c r="J118" i="5"/>
  <c r="G118" i="5"/>
  <c r="D118" i="5"/>
  <c r="I198" i="5"/>
  <c r="I195" i="5"/>
  <c r="D151" i="5"/>
  <c r="D145" i="5"/>
  <c r="D143" i="5"/>
  <c r="D141" i="5"/>
  <c r="D139" i="5"/>
  <c r="D137" i="5"/>
  <c r="D136" i="5"/>
  <c r="D133" i="5"/>
  <c r="D126" i="5"/>
  <c r="D128" i="5"/>
  <c r="I118" i="5"/>
  <c r="F118" i="5"/>
  <c r="C118" i="5"/>
  <c r="O88" i="5"/>
  <c r="O87" i="5"/>
  <c r="O86" i="5"/>
  <c r="O85" i="5"/>
  <c r="O84" i="5"/>
  <c r="O83" i="5"/>
  <c r="O82" i="5"/>
  <c r="O79" i="5"/>
  <c r="O78" i="5"/>
  <c r="O77" i="5"/>
  <c r="O76" i="5"/>
  <c r="O75" i="5"/>
  <c r="O74" i="5"/>
  <c r="O73" i="5"/>
  <c r="O72" i="5"/>
  <c r="O71" i="5"/>
  <c r="O70" i="5"/>
  <c r="O69" i="5"/>
  <c r="O68" i="5"/>
  <c r="O67" i="5"/>
  <c r="O66" i="5"/>
  <c r="O65" i="5"/>
  <c r="O64" i="5"/>
  <c r="O80" i="5"/>
  <c r="O62" i="5"/>
  <c r="X44" i="5"/>
  <c r="AJ48" i="5"/>
  <c r="AJ33" i="5"/>
  <c r="AJ46" i="5" s="1"/>
  <c r="C16" i="5"/>
  <c r="O169" i="14"/>
  <c r="O89" i="5" l="1"/>
  <c r="L89" i="5"/>
  <c r="AD54" i="25"/>
  <c r="Y39" i="5"/>
  <c r="Y40" i="5"/>
  <c r="AA39" i="5"/>
  <c r="AA40" i="5"/>
  <c r="AC39" i="5"/>
  <c r="AC40" i="5"/>
  <c r="L110" i="5"/>
  <c r="L114" i="5"/>
  <c r="AP27" i="25"/>
  <c r="FT41" i="14"/>
  <c r="FS41" i="14"/>
  <c r="FU41" i="14"/>
  <c r="FV41" i="14"/>
  <c r="O111" i="5"/>
  <c r="O110" i="5"/>
  <c r="AA47" i="5"/>
  <c r="ED81" i="14"/>
  <c r="ED82" i="14" s="1"/>
  <c r="ED50" i="14"/>
  <c r="F152" i="5"/>
  <c r="EF50" i="14"/>
  <c r="EF52" i="14" s="1"/>
  <c r="FV28" i="14"/>
  <c r="BW171" i="14"/>
  <c r="EU123" i="14"/>
  <c r="EU121" i="14"/>
  <c r="EU119" i="14"/>
  <c r="EU124" i="14"/>
  <c r="EU122" i="14"/>
  <c r="EU120" i="14"/>
  <c r="EU50" i="14"/>
  <c r="EU53" i="14" s="1"/>
  <c r="O116" i="5"/>
  <c r="O112" i="5"/>
  <c r="L97" i="5"/>
  <c r="L112" i="5"/>
  <c r="AC48" i="5"/>
  <c r="EH50" i="14"/>
  <c r="EH54" i="14" s="1"/>
  <c r="O102" i="5"/>
  <c r="O96" i="5"/>
  <c r="O97" i="5"/>
  <c r="L107" i="5"/>
  <c r="L106" i="5"/>
  <c r="L101" i="5"/>
  <c r="O103" i="5"/>
  <c r="O113" i="5"/>
  <c r="L105" i="5"/>
  <c r="O108" i="5"/>
  <c r="L96" i="5"/>
  <c r="L111" i="5"/>
  <c r="D16" i="5"/>
  <c r="EH124" i="14"/>
  <c r="EF121" i="14"/>
  <c r="EJ122" i="14"/>
  <c r="EN120" i="14"/>
  <c r="ES122" i="14"/>
  <c r="EL50" i="14"/>
  <c r="EL52" i="14" s="1"/>
  <c r="EK50" i="14"/>
  <c r="EK52" i="14" s="1"/>
  <c r="EJ50" i="14"/>
  <c r="EJ53" i="14" s="1"/>
  <c r="EN50" i="14"/>
  <c r="EN53" i="14" s="1"/>
  <c r="EM50" i="14"/>
  <c r="EM52" i="14" s="1"/>
  <c r="EI50" i="14"/>
  <c r="EI51" i="14" s="1"/>
  <c r="EG50" i="14"/>
  <c r="EG52" i="14" s="1"/>
  <c r="L103" i="5"/>
  <c r="L117" i="5"/>
  <c r="L108" i="5"/>
  <c r="L98" i="5"/>
  <c r="L100" i="5"/>
  <c r="L102" i="5"/>
  <c r="L113" i="5"/>
  <c r="L104" i="5"/>
  <c r="FS28" i="14"/>
  <c r="O107" i="5"/>
  <c r="O115" i="5"/>
  <c r="L116" i="5"/>
  <c r="L115" i="5"/>
  <c r="EJ124" i="14"/>
  <c r="EP50" i="14"/>
  <c r="EP54" i="14" s="1"/>
  <c r="ER50" i="14"/>
  <c r="ER53" i="14" s="1"/>
  <c r="EH120" i="14"/>
  <c r="EN124" i="14"/>
  <c r="ES50" i="14"/>
  <c r="ES54" i="14" s="1"/>
  <c r="O98" i="5"/>
  <c r="O100" i="5"/>
  <c r="O104" i="5"/>
  <c r="O106" i="5"/>
  <c r="O117" i="5"/>
  <c r="O105" i="5"/>
  <c r="O101" i="5"/>
  <c r="EH122" i="14"/>
  <c r="EV123" i="14"/>
  <c r="EF123" i="14"/>
  <c r="EF119" i="14"/>
  <c r="EN122" i="14"/>
  <c r="EV119" i="14"/>
  <c r="EV122" i="14"/>
  <c r="EV121" i="14"/>
  <c r="EV120" i="14"/>
  <c r="EJ120" i="14"/>
  <c r="FV118" i="14"/>
  <c r="EF124" i="14"/>
  <c r="EF122" i="14"/>
  <c r="EF120" i="14"/>
  <c r="H217" i="5"/>
  <c r="AC43" i="5"/>
  <c r="ET50" i="14"/>
  <c r="ET51" i="14" s="1"/>
  <c r="EV50" i="14"/>
  <c r="EV51" i="14" s="1"/>
  <c r="FU28" i="14"/>
  <c r="FT28" i="14"/>
  <c r="EN123" i="14"/>
  <c r="EN121" i="14"/>
  <c r="EH123" i="14"/>
  <c r="EH121" i="14"/>
  <c r="EJ123" i="14"/>
  <c r="EJ121" i="14"/>
  <c r="EO50" i="14"/>
  <c r="EO52" i="14" s="1"/>
  <c r="AD27" i="25"/>
  <c r="AH3" i="25" s="1"/>
  <c r="I217" i="5"/>
  <c r="D152" i="5"/>
  <c r="AC45" i="5"/>
  <c r="AC27" i="5"/>
  <c r="AC44" i="5"/>
  <c r="AC46" i="5"/>
  <c r="AA28" i="5"/>
  <c r="AC35" i="5"/>
  <c r="AA27" i="5"/>
  <c r="AC41" i="5"/>
  <c r="AC29" i="5"/>
  <c r="AA15" i="5"/>
  <c r="AA26" i="5"/>
  <c r="AC16" i="5"/>
  <c r="AC33" i="5"/>
  <c r="AC20" i="5"/>
  <c r="AA34" i="5"/>
  <c r="AA38" i="5"/>
  <c r="AA22" i="5"/>
  <c r="AC37" i="5"/>
  <c r="AC31" i="5"/>
  <c r="AC30" i="5"/>
  <c r="AC25" i="5"/>
  <c r="AC23" i="5"/>
  <c r="AC21" i="5"/>
  <c r="AA36" i="5"/>
  <c r="AA32" i="5"/>
  <c r="AA18" i="5"/>
  <c r="AC34" i="5"/>
  <c r="AC26" i="5"/>
  <c r="AC36" i="5"/>
  <c r="AC38" i="5"/>
  <c r="AC32" i="5"/>
  <c r="AC28" i="5"/>
  <c r="AC18" i="5"/>
  <c r="AC24" i="5"/>
  <c r="AC22" i="5"/>
  <c r="AC17" i="5"/>
  <c r="AC19" i="5"/>
  <c r="AC15" i="5"/>
  <c r="AA24" i="5"/>
  <c r="AA19" i="5"/>
  <c r="AC47" i="5"/>
  <c r="FT118" i="14"/>
  <c r="EL123" i="14"/>
  <c r="EL119" i="14"/>
  <c r="EL124" i="14"/>
  <c r="EL122" i="14"/>
  <c r="EL120" i="14"/>
  <c r="ET119" i="14"/>
  <c r="ET120" i="14"/>
  <c r="ET123" i="14"/>
  <c r="ET122" i="14"/>
  <c r="ET121" i="14"/>
  <c r="EK123" i="14"/>
  <c r="EG120" i="14"/>
  <c r="EG119" i="14"/>
  <c r="EG122" i="14"/>
  <c r="EG124" i="14"/>
  <c r="EG121" i="14"/>
  <c r="ES121" i="14"/>
  <c r="ES120" i="14"/>
  <c r="ES123" i="14"/>
  <c r="ES119" i="14"/>
  <c r="ER119" i="14"/>
  <c r="ER123" i="14"/>
  <c r="ER122" i="14"/>
  <c r="EM123" i="14"/>
  <c r="EM119" i="14"/>
  <c r="EM122" i="14"/>
  <c r="EK119" i="14"/>
  <c r="EK122" i="14"/>
  <c r="EK121" i="14"/>
  <c r="EK120" i="14"/>
  <c r="EM121" i="14"/>
  <c r="EM120" i="14"/>
  <c r="EI124" i="14"/>
  <c r="EI120" i="14"/>
  <c r="EI121" i="14"/>
  <c r="ER121" i="14"/>
  <c r="ER124" i="14"/>
  <c r="FU118" i="14"/>
  <c r="EQ119" i="14"/>
  <c r="EQ123" i="14"/>
  <c r="EQ121" i="14"/>
  <c r="EQ120" i="14"/>
  <c r="EQ122" i="14"/>
  <c r="EP120" i="14"/>
  <c r="EP122" i="14"/>
  <c r="EP119" i="14"/>
  <c r="EP121" i="14"/>
  <c r="EP123" i="14"/>
  <c r="EP124" i="14"/>
  <c r="EO120" i="14"/>
  <c r="EO124" i="14"/>
  <c r="EO119" i="14"/>
  <c r="EO123" i="14"/>
  <c r="EO121" i="14"/>
  <c r="FS118" i="14"/>
  <c r="EI122" i="14"/>
  <c r="EI119" i="14"/>
  <c r="FV31" i="14"/>
  <c r="FR50" i="14"/>
  <c r="FT31" i="14"/>
  <c r="FU31" i="14"/>
  <c r="EQ50" i="14"/>
  <c r="EQ52" i="14" s="1"/>
  <c r="FS31" i="14"/>
  <c r="AE15" i="5"/>
  <c r="AE19" i="5"/>
  <c r="AE17" i="5"/>
  <c r="AE22" i="5"/>
  <c r="AE24" i="5"/>
  <c r="AE18" i="5"/>
  <c r="AE28" i="5"/>
  <c r="AE32" i="5"/>
  <c r="AE38" i="5"/>
  <c r="AE36" i="5"/>
  <c r="AE26" i="5"/>
  <c r="AE34" i="5"/>
  <c r="AE27" i="5"/>
  <c r="AE44" i="5"/>
  <c r="AE46" i="5"/>
  <c r="AE48" i="5"/>
  <c r="AE20" i="5"/>
  <c r="AE23" i="5"/>
  <c r="AE25" i="5"/>
  <c r="AE33" i="5"/>
  <c r="AE29" i="5"/>
  <c r="AE35" i="5"/>
  <c r="AE37" i="5"/>
  <c r="AE43" i="5"/>
  <c r="AE47" i="5"/>
  <c r="AE21" i="5"/>
  <c r="AE16" i="5"/>
  <c r="AE30" i="5"/>
  <c r="AE31" i="5"/>
  <c r="AE41" i="5"/>
  <c r="AE45" i="5"/>
  <c r="AA20" i="5"/>
  <c r="AA41" i="5"/>
  <c r="AA37" i="5"/>
  <c r="AA35" i="5"/>
  <c r="AA31" i="5"/>
  <c r="AA29" i="5"/>
  <c r="AA30" i="5"/>
  <c r="AA33" i="5"/>
  <c r="AA25" i="5"/>
  <c r="AA16" i="5"/>
  <c r="AA23" i="5"/>
  <c r="AA21" i="5"/>
  <c r="AA17" i="5"/>
  <c r="AA48" i="5"/>
  <c r="AA46" i="5"/>
  <c r="AA43" i="5"/>
  <c r="AA45" i="5"/>
  <c r="AA44" i="5"/>
  <c r="AC168" i="14"/>
  <c r="P169" i="14"/>
  <c r="O172" i="14"/>
  <c r="AJ44" i="5"/>
  <c r="AE42" i="5" l="1"/>
  <c r="AC42" i="5"/>
  <c r="AA42" i="5"/>
  <c r="L109" i="5"/>
  <c r="O109" i="5"/>
  <c r="EF51" i="14"/>
  <c r="EF54" i="14"/>
  <c r="EF53" i="14"/>
  <c r="EH51" i="14"/>
  <c r="BX171" i="14"/>
  <c r="EH53" i="14"/>
  <c r="ES53" i="14"/>
  <c r="EH52" i="14"/>
  <c r="L99" i="5"/>
  <c r="EL53" i="14"/>
  <c r="EL51" i="14"/>
  <c r="EL54" i="14"/>
  <c r="EK53" i="14"/>
  <c r="EK51" i="14"/>
  <c r="EK54" i="14"/>
  <c r="EJ54" i="14"/>
  <c r="EJ51" i="14"/>
  <c r="EJ52" i="14"/>
  <c r="EN52" i="14"/>
  <c r="EN54" i="14"/>
  <c r="EN51" i="14"/>
  <c r="EI53" i="14"/>
  <c r="EG53" i="14"/>
  <c r="ET53" i="14"/>
  <c r="ET54" i="14"/>
  <c r="ET52" i="14"/>
  <c r="EM53" i="14"/>
  <c r="EM54" i="14"/>
  <c r="EM51" i="14"/>
  <c r="EI54" i="14"/>
  <c r="EI52" i="14"/>
  <c r="EG54" i="14"/>
  <c r="EG51" i="14"/>
  <c r="EV54" i="14"/>
  <c r="ER54" i="14"/>
  <c r="ER51" i="14"/>
  <c r="ER52" i="14"/>
  <c r="EP51" i="14"/>
  <c r="EP52" i="14"/>
  <c r="EP53" i="14"/>
  <c r="EV52" i="14"/>
  <c r="FU50" i="14"/>
  <c r="O99" i="5"/>
  <c r="EU52" i="14"/>
  <c r="EO51" i="14"/>
  <c r="ES52" i="14"/>
  <c r="EV53" i="14"/>
  <c r="ES51" i="14"/>
  <c r="EO54" i="14"/>
  <c r="FV50" i="14"/>
  <c r="EU51" i="14"/>
  <c r="EO53" i="14"/>
  <c r="EU54" i="14"/>
  <c r="FT50" i="14"/>
  <c r="FS50" i="14"/>
  <c r="EQ53" i="14"/>
  <c r="EQ51" i="14"/>
  <c r="EQ54" i="14"/>
  <c r="Q169" i="14"/>
  <c r="P172" i="14"/>
  <c r="AD168" i="14"/>
  <c r="O118" i="5" l="1"/>
  <c r="BY171" i="14"/>
  <c r="L118" i="5"/>
  <c r="AE168" i="14"/>
  <c r="R169" i="14"/>
  <c r="Q172" i="14"/>
  <c r="BZ171" i="14" l="1"/>
  <c r="S169" i="14"/>
  <c r="R172" i="14"/>
  <c r="AF168" i="14"/>
  <c r="CA171" i="14" l="1"/>
  <c r="AG168" i="14"/>
  <c r="T169" i="14"/>
  <c r="S172" i="14"/>
  <c r="CB171" i="14" l="1"/>
  <c r="U169" i="14"/>
  <c r="T172" i="14"/>
  <c r="AH168" i="14"/>
  <c r="CC171" i="14" l="1"/>
  <c r="AI168" i="14"/>
  <c r="V169" i="14"/>
  <c r="U172" i="14"/>
  <c r="CD171" i="14" l="1"/>
  <c r="W169" i="14"/>
  <c r="V172" i="14"/>
  <c r="AJ168" i="14"/>
  <c r="CE171" i="14" l="1"/>
  <c r="AK168" i="14"/>
  <c r="X169" i="14"/>
  <c r="W172" i="14"/>
  <c r="CF171" i="14" l="1"/>
  <c r="Y169" i="14"/>
  <c r="X172" i="14"/>
  <c r="AL168" i="14"/>
  <c r="CG171" i="14" l="1"/>
  <c r="CH171" i="14" s="1"/>
  <c r="AM168" i="14"/>
  <c r="Z169" i="14"/>
  <c r="Y172" i="14"/>
  <c r="CI171" i="14" l="1"/>
  <c r="AA169" i="14"/>
  <c r="Z172" i="14"/>
  <c r="AN168" i="14"/>
  <c r="CJ171" i="14" l="1"/>
  <c r="AO168" i="14"/>
  <c r="AB169" i="14"/>
  <c r="AA172" i="14"/>
  <c r="CK171" i="14" l="1"/>
  <c r="AC169" i="14"/>
  <c r="AB172" i="14"/>
  <c r="AP168" i="14"/>
  <c r="CL171" i="14" l="1"/>
  <c r="AQ168" i="14"/>
  <c r="AD169" i="14"/>
  <c r="AC172" i="14"/>
  <c r="CM171" i="14" l="1"/>
  <c r="AE169" i="14"/>
  <c r="AD172" i="14"/>
  <c r="AR168" i="14"/>
  <c r="CN171" i="14" l="1"/>
  <c r="AS168" i="14"/>
  <c r="AF169" i="14"/>
  <c r="AE172" i="14"/>
  <c r="CO171" i="14" l="1"/>
  <c r="AG169" i="14"/>
  <c r="AF172" i="14"/>
  <c r="AT168" i="14"/>
  <c r="CP171" i="14" l="1"/>
  <c r="AU168" i="14"/>
  <c r="AH169" i="14"/>
  <c r="AG172" i="14"/>
  <c r="CQ171" i="14" l="1"/>
  <c r="AI169" i="14"/>
  <c r="AH172" i="14"/>
  <c r="AV168" i="14"/>
  <c r="CR171" i="14" l="1"/>
  <c r="AW168" i="14"/>
  <c r="AJ169" i="14"/>
  <c r="AI172" i="14"/>
  <c r="CS171" i="14" l="1"/>
  <c r="CT171" i="14" s="1"/>
  <c r="AK169" i="14"/>
  <c r="AJ172" i="14"/>
  <c r="AX168" i="14"/>
  <c r="CU171" i="14" l="1"/>
  <c r="AY168" i="14"/>
  <c r="AL169" i="14"/>
  <c r="AK172" i="14"/>
  <c r="CV171" i="14" l="1"/>
  <c r="AM169" i="14"/>
  <c r="AL172" i="14"/>
  <c r="AZ168" i="14"/>
  <c r="CW171" i="14" l="1"/>
  <c r="BA168" i="14"/>
  <c r="AN169" i="14"/>
  <c r="AM172" i="14"/>
  <c r="CX171" i="14" l="1"/>
  <c r="AO169" i="14"/>
  <c r="AN172" i="14"/>
  <c r="BB168" i="14"/>
  <c r="CY171" i="14" l="1"/>
  <c r="BC168" i="14"/>
  <c r="AP169" i="14"/>
  <c r="AO172" i="14"/>
  <c r="CZ171" i="14" l="1"/>
  <c r="AQ169" i="14"/>
  <c r="AP172" i="14"/>
  <c r="BD168" i="14"/>
  <c r="DA171" i="14" l="1"/>
  <c r="BE168" i="14"/>
  <c r="AR169" i="14"/>
  <c r="AQ172" i="14"/>
  <c r="DB171" i="14" l="1"/>
  <c r="AS169" i="14"/>
  <c r="AR172" i="14"/>
  <c r="BF168" i="14"/>
  <c r="DC171" i="14" l="1"/>
  <c r="BG168" i="14"/>
  <c r="AT169" i="14"/>
  <c r="AS172" i="14"/>
  <c r="DD171" i="14" l="1"/>
  <c r="AU169" i="14"/>
  <c r="AT172" i="14"/>
  <c r="BH168" i="14"/>
  <c r="DE171" i="14" l="1"/>
  <c r="DF171" i="14" s="1"/>
  <c r="BI168" i="14"/>
  <c r="AV169" i="14"/>
  <c r="AU172" i="14"/>
  <c r="DG171" i="14" l="1"/>
  <c r="AW169" i="14"/>
  <c r="AV172" i="14"/>
  <c r="BJ168" i="14"/>
  <c r="DH171" i="14" l="1"/>
  <c r="BK168" i="14"/>
  <c r="AX169" i="14"/>
  <c r="AW172" i="14"/>
  <c r="DI171" i="14" l="1"/>
  <c r="AY169" i="14"/>
  <c r="AX172" i="14"/>
  <c r="BL168" i="14"/>
  <c r="DJ171" i="14" l="1"/>
  <c r="BM168" i="14"/>
  <c r="AZ169" i="14"/>
  <c r="AY172" i="14"/>
  <c r="DK171" i="14" l="1"/>
  <c r="BA169" i="14"/>
  <c r="AZ172" i="14"/>
  <c r="BN168" i="14"/>
  <c r="DL171" i="14" l="1"/>
  <c r="BO168" i="14"/>
  <c r="BB169" i="14"/>
  <c r="BA172" i="14"/>
  <c r="DM171" i="14" l="1"/>
  <c r="BC169" i="14"/>
  <c r="BB172" i="14"/>
  <c r="BP168" i="14"/>
  <c r="DN171" i="14" l="1"/>
  <c r="BQ168" i="14"/>
  <c r="BD169" i="14"/>
  <c r="BC172" i="14"/>
  <c r="DO171" i="14" l="1"/>
  <c r="BE169" i="14"/>
  <c r="BD172" i="14"/>
  <c r="BR168" i="14"/>
  <c r="DP171" i="14" l="1"/>
  <c r="BS168" i="14"/>
  <c r="BF169" i="14"/>
  <c r="BE172" i="14"/>
  <c r="DQ171" i="14" l="1"/>
  <c r="DR171" i="14" s="1"/>
  <c r="BG169" i="14"/>
  <c r="BF172" i="14"/>
  <c r="BT168" i="14"/>
  <c r="DS171" i="14" l="1"/>
  <c r="BU168" i="14"/>
  <c r="BV168" i="14" s="1"/>
  <c r="BH169" i="14"/>
  <c r="BG172" i="14"/>
  <c r="DT171" i="14" l="1"/>
  <c r="BW168" i="14"/>
  <c r="BI169" i="14"/>
  <c r="BH172" i="14"/>
  <c r="DU171" i="14" l="1"/>
  <c r="BX168" i="14"/>
  <c r="BJ169" i="14"/>
  <c r="BI172" i="14"/>
  <c r="DV171" i="14" l="1"/>
  <c r="BY168" i="14"/>
  <c r="BK169" i="14"/>
  <c r="BJ172" i="14"/>
  <c r="DW171" i="14" l="1"/>
  <c r="BZ168" i="14"/>
  <c r="BL169" i="14"/>
  <c r="BK172" i="14"/>
  <c r="DX171" i="14" l="1"/>
  <c r="CA168" i="14"/>
  <c r="BM169" i="14"/>
  <c r="BL172" i="14"/>
  <c r="DY171" i="14" l="1"/>
  <c r="CB168" i="14"/>
  <c r="BN169" i="14"/>
  <c r="BM172" i="14"/>
  <c r="DZ171" i="14" l="1"/>
  <c r="CC168" i="14"/>
  <c r="BO169" i="14"/>
  <c r="BN172" i="14"/>
  <c r="EA171" i="14" l="1"/>
  <c r="CD168" i="14"/>
  <c r="BP169" i="14"/>
  <c r="BO172" i="14"/>
  <c r="EB171" i="14" l="1"/>
  <c r="CE168" i="14"/>
  <c r="BQ169" i="14"/>
  <c r="BP172" i="14"/>
  <c r="EC171" i="14" l="1"/>
  <c r="CF168" i="14"/>
  <c r="BR169" i="14"/>
  <c r="BQ172" i="14"/>
  <c r="CG168" i="14" l="1"/>
  <c r="CH168" i="14" s="1"/>
  <c r="BS169" i="14"/>
  <c r="BR172" i="14"/>
  <c r="CI168" i="14" l="1"/>
  <c r="BT169" i="14"/>
  <c r="BS172" i="14"/>
  <c r="CJ168" i="14" l="1"/>
  <c r="BU169" i="14"/>
  <c r="BT172" i="14"/>
  <c r="CK168" i="14" l="1"/>
  <c r="BU172" i="14"/>
  <c r="BV169" i="14"/>
  <c r="Y33" i="5"/>
  <c r="Y47" i="5"/>
  <c r="Y36" i="5"/>
  <c r="Y23" i="5"/>
  <c r="Y34" i="5"/>
  <c r="Y37" i="5"/>
  <c r="Y17" i="5"/>
  <c r="Y30" i="5"/>
  <c r="Y19" i="5"/>
  <c r="Y20" i="5"/>
  <c r="Y45" i="5"/>
  <c r="Y26" i="5"/>
  <c r="Y41" i="5"/>
  <c r="Y35" i="5"/>
  <c r="Y22" i="5"/>
  <c r="Y48" i="5"/>
  <c r="Y27" i="5"/>
  <c r="Y29" i="5"/>
  <c r="Y28" i="5"/>
  <c r="Y24" i="5"/>
  <c r="Y32" i="5"/>
  <c r="Y31" i="5"/>
  <c r="Y25" i="5"/>
  <c r="Y16" i="5"/>
  <c r="Y44" i="5"/>
  <c r="Y46" i="5"/>
  <c r="Y38" i="5"/>
  <c r="Y18" i="5"/>
  <c r="Y21" i="5"/>
  <c r="Y43" i="5"/>
  <c r="Y15" i="5"/>
  <c r="Y42" i="5" l="1"/>
  <c r="CL168" i="14"/>
  <c r="BW169" i="14"/>
  <c r="BV172" i="14"/>
  <c r="CM168" i="14" l="1"/>
  <c r="BX169" i="14"/>
  <c r="BW172" i="14"/>
  <c r="CN168" i="14" l="1"/>
  <c r="BY169" i="14"/>
  <c r="BX172" i="14"/>
  <c r="CO168" i="14" l="1"/>
  <c r="BZ169" i="14"/>
  <c r="BY172" i="14"/>
  <c r="CP168" i="14" l="1"/>
  <c r="CA169" i="14"/>
  <c r="BZ172" i="14"/>
  <c r="CQ168" i="14" l="1"/>
  <c r="CB169" i="14"/>
  <c r="CA172" i="14"/>
  <c r="CR168" i="14" l="1"/>
  <c r="CC169" i="14"/>
  <c r="CB172" i="14"/>
  <c r="CS168" i="14" l="1"/>
  <c r="CT168" i="14" s="1"/>
  <c r="CD169" i="14"/>
  <c r="CC172" i="14"/>
  <c r="CU168" i="14" l="1"/>
  <c r="CE169" i="14"/>
  <c r="CD172" i="14"/>
  <c r="CV168" i="14" l="1"/>
  <c r="CF169" i="14"/>
  <c r="CE172" i="14"/>
  <c r="CW168" i="14" l="1"/>
  <c r="CG169" i="14"/>
  <c r="CF172" i="14"/>
  <c r="CX168" i="14" l="1"/>
  <c r="CG172" i="14"/>
  <c r="CH169" i="14"/>
  <c r="CY168" i="14" l="1"/>
  <c r="CI169" i="14"/>
  <c r="CH172" i="14"/>
  <c r="CZ168" i="14" l="1"/>
  <c r="CJ169" i="14"/>
  <c r="CI172" i="14"/>
  <c r="DA168" i="14" l="1"/>
  <c r="CK169" i="14"/>
  <c r="CJ172" i="14"/>
  <c r="DB168" i="14" l="1"/>
  <c r="CL169" i="14"/>
  <c r="CK172" i="14"/>
  <c r="DC168" i="14" l="1"/>
  <c r="CM169" i="14"/>
  <c r="CL172" i="14"/>
  <c r="DD168" i="14" l="1"/>
  <c r="CN169" i="14"/>
  <c r="CM172" i="14"/>
  <c r="DE168" i="14" l="1"/>
  <c r="DF168" i="14" s="1"/>
  <c r="CO169" i="14"/>
  <c r="CN172" i="14"/>
  <c r="DG168" i="14" l="1"/>
  <c r="CP169" i="14"/>
  <c r="CO172" i="14"/>
  <c r="DH168" i="14" l="1"/>
  <c r="CQ169" i="14"/>
  <c r="CP172" i="14"/>
  <c r="DI168" i="14" l="1"/>
  <c r="CR169" i="14"/>
  <c r="CQ172" i="14"/>
  <c r="DJ168" i="14" l="1"/>
  <c r="CS169" i="14"/>
  <c r="CR172" i="14"/>
  <c r="DK168" i="14" l="1"/>
  <c r="CS172" i="14"/>
  <c r="CT169" i="14"/>
  <c r="DL168" i="14" l="1"/>
  <c r="CU169" i="14"/>
  <c r="CT172" i="14"/>
  <c r="DM168" i="14" l="1"/>
  <c r="CV169" i="14"/>
  <c r="CU172" i="14"/>
  <c r="DN168" i="14" l="1"/>
  <c r="CW169" i="14"/>
  <c r="CV172" i="14"/>
  <c r="DO168" i="14" l="1"/>
  <c r="CX169" i="14"/>
  <c r="CW172" i="14"/>
  <c r="DP168" i="14" l="1"/>
  <c r="CY169" i="14"/>
  <c r="CX172" i="14"/>
  <c r="DQ168" i="14" l="1"/>
  <c r="DR168" i="14" s="1"/>
  <c r="CZ169" i="14"/>
  <c r="CY172" i="14"/>
  <c r="DS168" i="14" l="1"/>
  <c r="DA169" i="14"/>
  <c r="CZ172" i="14"/>
  <c r="DT168" i="14" l="1"/>
  <c r="DB169" i="14"/>
  <c r="DA172" i="14"/>
  <c r="DU168" i="14" l="1"/>
  <c r="DC169" i="14"/>
  <c r="DB172" i="14"/>
  <c r="DV168" i="14" l="1"/>
  <c r="DD169" i="14"/>
  <c r="DC172" i="14"/>
  <c r="DW168" i="14" l="1"/>
  <c r="DE169" i="14"/>
  <c r="DD172" i="14"/>
  <c r="DX168" i="14" l="1"/>
  <c r="DE172" i="14"/>
  <c r="DF169" i="14"/>
  <c r="DY168" i="14" l="1"/>
  <c r="DG169" i="14"/>
  <c r="DF172" i="14"/>
  <c r="DZ168" i="14" l="1"/>
  <c r="DH169" i="14"/>
  <c r="DG172" i="14"/>
  <c r="EA168" i="14" l="1"/>
  <c r="DI169" i="14"/>
  <c r="DH172" i="14"/>
  <c r="EB168" i="14" l="1"/>
  <c r="DJ169" i="14"/>
  <c r="DI172" i="14"/>
  <c r="EC168" i="14" l="1"/>
  <c r="DK169" i="14"/>
  <c r="DJ172" i="14"/>
  <c r="DL169" i="14" l="1"/>
  <c r="DK172" i="14"/>
  <c r="DM169" i="14" l="1"/>
  <c r="DL172" i="14"/>
  <c r="DN169" i="14" l="1"/>
  <c r="DM172" i="14"/>
  <c r="DO169" i="14" l="1"/>
  <c r="DN172" i="14"/>
  <c r="DP169" i="14" l="1"/>
  <c r="DO172" i="14"/>
  <c r="DQ169" i="14" l="1"/>
  <c r="DP172" i="14"/>
  <c r="DQ172" i="14" l="1"/>
  <c r="DR169" i="14"/>
  <c r="DS169" i="14" l="1"/>
  <c r="DR172" i="14"/>
  <c r="DT169" i="14" l="1"/>
  <c r="DS172" i="14"/>
  <c r="DU169" i="14" l="1"/>
  <c r="DT172" i="14"/>
  <c r="DV169" i="14" l="1"/>
  <c r="DU172" i="14"/>
  <c r="DW169" i="14" l="1"/>
  <c r="DV172" i="14"/>
  <c r="DX169" i="14" l="1"/>
  <c r="DW172" i="14"/>
  <c r="DY169" i="14" l="1"/>
  <c r="DX172" i="14"/>
  <c r="DZ169" i="14" l="1"/>
  <c r="DY172" i="14"/>
  <c r="EA169" i="14" l="1"/>
  <c r="DZ172" i="14"/>
  <c r="EB169" i="14" l="1"/>
  <c r="EA172" i="14"/>
  <c r="EC169" i="14" l="1"/>
  <c r="EC172" i="14" s="1"/>
  <c r="EB172" i="14"/>
</calcChain>
</file>

<file path=xl/comments1.xml><?xml version="1.0" encoding="utf-8"?>
<comments xmlns="http://schemas.openxmlformats.org/spreadsheetml/2006/main">
  <authors>
    <author>Jørgen Fenhann</author>
    <author>J. Fenhann, UNEP Risoe Centre</author>
    <author xml:space="preserve"> </author>
    <author>jqfe</author>
    <author>Schimmel, Martin Admin</author>
    <author>Jørgen Villy Fenhann</author>
  </authors>
  <commentList>
    <comment ref="A4" authorId="0">
      <text>
        <r>
          <rPr>
            <b/>
            <sz val="8"/>
            <color indexed="81"/>
            <rFont val="Tahoma"/>
            <family val="2"/>
          </rPr>
          <t>JI0001-JI0132 were early movers. They have been deleted. Some of them might show up as Track 1 or 2 projects.</t>
        </r>
      </text>
    </comment>
    <comment ref="L4" authorId="1">
      <text>
        <r>
          <rPr>
            <b/>
            <sz val="8"/>
            <color indexed="81"/>
            <rFont val="Tahoma"/>
            <family val="2"/>
          </rPr>
          <t>Average over the period from Credit Start until end of 2012</t>
        </r>
      </text>
    </comment>
    <comment ref="T4" authorId="0">
      <text>
        <r>
          <rPr>
            <b/>
            <sz val="10"/>
            <color indexed="81"/>
            <rFont val="Tahoma"/>
            <family val="2"/>
          </rPr>
          <t>Final day of rquesting review</t>
        </r>
        <r>
          <rPr>
            <sz val="10"/>
            <color indexed="81"/>
            <rFont val="Tahoma"/>
            <family val="2"/>
          </rPr>
          <t xml:space="preserve">
</t>
        </r>
      </text>
    </comment>
    <comment ref="W4" authorId="2">
      <text>
        <r>
          <rPr>
            <b/>
            <sz val="8"/>
            <color indexed="81"/>
            <rFont val="Tahoma"/>
            <family val="2"/>
          </rPr>
          <t xml:space="preserve"> This is defined as the ERUs issued devided by the number of ERUs expected in the PDD for the same period
</t>
        </r>
      </text>
    </comment>
    <comment ref="Y4" authorId="2">
      <text>
        <r>
          <rPr>
            <b/>
            <sz val="8"/>
            <color indexed="81"/>
            <rFont val="Tahoma"/>
            <family val="2"/>
          </rPr>
          <t xml:space="preserve"> The information on the credit buyer is preliminary, and only build on the information in the PDD
</t>
        </r>
      </text>
    </comment>
    <comment ref="AE4" authorId="3">
      <text>
        <r>
          <rPr>
            <sz val="9"/>
            <color indexed="81"/>
            <rFont val="Tahoma"/>
            <family val="2"/>
          </rPr>
          <t xml:space="preserve">For track 2  this is called "Determination reports" and the approval or for track 1  "Final Determinations happen 45 days later if there are no request for review. 
</t>
        </r>
      </text>
    </comment>
    <comment ref="AI4" authorId="0">
      <text>
        <r>
          <rPr>
            <b/>
            <sz val="10"/>
            <color indexed="81"/>
            <rFont val="Tahoma"/>
            <family val="2"/>
          </rPr>
          <t>If you multiply the number off full time equivalent hours in this column with the number of MW you get the electricity produced in MWh. sold to the grid</t>
        </r>
      </text>
    </comment>
    <comment ref="P108" authorId="4">
      <text>
        <r>
          <rPr>
            <sz val="9"/>
            <color indexed="81"/>
            <rFont val="Tahoma"/>
            <family val="2"/>
          </rPr>
          <t xml:space="preserve">DOE: Electrowatt-Ekono
</t>
        </r>
      </text>
    </comment>
    <comment ref="Z125" authorId="5">
      <text>
        <r>
          <rPr>
            <sz val="8"/>
            <color indexed="81"/>
            <rFont val="Tahoma"/>
            <family val="2"/>
          </rPr>
          <t>Agriculture Cooperative</t>
        </r>
      </text>
    </comment>
    <comment ref="Q190" authorId="5">
      <text>
        <r>
          <rPr>
            <b/>
            <sz val="9"/>
            <color indexed="81"/>
            <rFont val="Tahoma"/>
            <family val="2"/>
          </rPr>
          <t>657 ktCO2 reduced but only 600 claimed</t>
        </r>
      </text>
    </comment>
    <comment ref="AA190" authorId="0">
      <text>
        <r>
          <rPr>
            <b/>
            <sz val="10"/>
            <color indexed="81"/>
            <rFont val="Tahoma"/>
            <family val="2"/>
          </rPr>
          <t>Start Comment on Climate L: 01/12/03</t>
        </r>
      </text>
    </comment>
    <comment ref="Q191" authorId="5">
      <text>
        <r>
          <rPr>
            <b/>
            <sz val="9"/>
            <color indexed="81"/>
            <rFont val="Tahoma"/>
            <family val="2"/>
          </rPr>
          <t>549.401 tCO2 reduced but only 489 kERUs claimed</t>
        </r>
      </text>
    </comment>
    <comment ref="AA191" authorId="0">
      <text>
        <r>
          <rPr>
            <b/>
            <sz val="10"/>
            <color indexed="81"/>
            <rFont val="Tahoma"/>
            <family val="2"/>
          </rPr>
          <t xml:space="preserve">Start Comment on Climate L: 25/02/05
</t>
        </r>
      </text>
    </comment>
    <comment ref="Q192" authorId="5">
      <text>
        <r>
          <rPr>
            <b/>
            <sz val="9"/>
            <color indexed="81"/>
            <rFont val="Tahoma"/>
            <family val="2"/>
          </rPr>
          <t>390,006 ktCO2 reduced but only228 kERUs claimed</t>
        </r>
      </text>
    </comment>
    <comment ref="Q193" authorId="5">
      <text>
        <r>
          <rPr>
            <b/>
            <sz val="9"/>
            <color indexed="81"/>
            <rFont val="Tahoma"/>
            <family val="2"/>
          </rPr>
          <t>988,489 ktCO2 reduced but only 668 kERUs claimed</t>
        </r>
      </text>
    </comment>
    <comment ref="Q195" authorId="5">
      <text>
        <r>
          <rPr>
            <b/>
            <sz val="9"/>
            <color indexed="81"/>
            <rFont val="Tahoma"/>
            <family val="2"/>
          </rPr>
          <t>227,102 ktCO2 reduced but only 200 kERUs claimed</t>
        </r>
        <r>
          <rPr>
            <sz val="9"/>
            <color indexed="81"/>
            <rFont val="Tahoma"/>
            <family val="2"/>
          </rPr>
          <t xml:space="preserve">
</t>
        </r>
      </text>
    </comment>
    <comment ref="Q196" authorId="5">
      <text>
        <r>
          <rPr>
            <b/>
            <sz val="9"/>
            <color indexed="81"/>
            <rFont val="Tahoma"/>
            <family val="2"/>
          </rPr>
          <t>1522.270 ktCO2 reduced by only 791 kERUs claimed</t>
        </r>
      </text>
    </comment>
    <comment ref="Q197" authorId="5">
      <text>
        <r>
          <rPr>
            <b/>
            <sz val="9"/>
            <color indexed="81"/>
            <rFont val="Tahoma"/>
            <family val="2"/>
          </rPr>
          <t>18,485 ktCO2 reduced but only 12 kERUs claimed</t>
        </r>
      </text>
    </comment>
    <comment ref="C219" authorId="5">
      <text>
        <r>
          <rPr>
            <sz val="8"/>
            <color indexed="81"/>
            <rFont val="Tahoma"/>
            <family val="2"/>
          </rPr>
          <t xml:space="preserve">Track 2 title:CMM utilisation on the Krupinski Coal Mine in Upper Silesian Basin
</t>
        </r>
      </text>
    </comment>
    <comment ref="X318" authorId="5">
      <text>
        <r>
          <rPr>
            <b/>
            <sz val="9"/>
            <color indexed="81"/>
            <rFont val="Tahoma"/>
            <family val="2"/>
          </rPr>
          <t xml:space="preserve">Issuance for 01.07.12 to 30.11.12 by Carbon Ekspert
</t>
        </r>
      </text>
    </comment>
    <comment ref="Q324" authorId="5">
      <text>
        <r>
          <rPr>
            <b/>
            <sz val="9"/>
            <color indexed="81"/>
            <rFont val="Tahoma"/>
            <family val="2"/>
          </rPr>
          <t xml:space="preserve">The last two numbers from the monitoting report
</t>
        </r>
      </text>
    </comment>
    <comment ref="Q325" authorId="5">
      <text>
        <r>
          <rPr>
            <b/>
            <sz val="9"/>
            <color indexed="81"/>
            <rFont val="Tahoma"/>
            <family val="2"/>
          </rPr>
          <t xml:space="preserve">The last two numbers from the monitoting report
</t>
        </r>
      </text>
    </comment>
    <comment ref="C329" authorId="5">
      <text>
        <r>
          <rPr>
            <sz val="10"/>
            <color indexed="81"/>
            <rFont val="Tahoma"/>
            <family val="2"/>
          </rPr>
          <t xml:space="preserve">
Old title from tr 2: Installation of three combined cycle gas turbine SGT-800 at GTES “Kolomenskoe”, Moscow, Russian Federation</t>
        </r>
      </text>
    </comment>
    <comment ref="C342" authorId="5">
      <text>
        <r>
          <rPr>
            <sz val="8"/>
            <color indexed="81"/>
            <rFont val="Tahoma"/>
            <family val="2"/>
          </rPr>
          <t>=JI0220?</t>
        </r>
      </text>
    </comment>
    <comment ref="X346" authorId="5">
      <text>
        <r>
          <rPr>
            <b/>
            <sz val="8"/>
            <color indexed="81"/>
            <rFont val="Tahoma"/>
            <family val="2"/>
          </rPr>
          <t>BV CERT for the 2nd issuance</t>
        </r>
      </text>
    </comment>
    <comment ref="X348" authorId="5">
      <text>
        <r>
          <rPr>
            <b/>
            <sz val="9"/>
            <color indexed="81"/>
            <rFont val="Tahoma"/>
            <family val="2"/>
          </rPr>
          <t xml:space="preserve">2nd issuance by Carbon Ekspert.
</t>
        </r>
      </text>
    </comment>
    <comment ref="X349" authorId="5">
      <text>
        <r>
          <rPr>
            <b/>
            <sz val="9"/>
            <color indexed="81"/>
            <rFont val="Tahoma"/>
            <family val="2"/>
          </rPr>
          <t xml:space="preserve">2nd issuance by Carbon Ekspert.
</t>
        </r>
      </text>
    </comment>
    <comment ref="Q362" authorId="5">
      <text>
        <r>
          <rPr>
            <b/>
            <sz val="9"/>
            <color indexed="81"/>
            <rFont val="Tahoma"/>
            <family val="2"/>
          </rPr>
          <t xml:space="preserve">Only monitoring report available
</t>
        </r>
      </text>
    </comment>
    <comment ref="T362" authorId="5">
      <text>
        <r>
          <rPr>
            <b/>
            <sz val="9"/>
            <color indexed="81"/>
            <rFont val="Tahoma"/>
            <family val="2"/>
          </rPr>
          <t xml:space="preserve">Only monitoring report available
</t>
        </r>
      </text>
    </comment>
    <comment ref="U362" authorId="5">
      <text>
        <r>
          <rPr>
            <b/>
            <sz val="9"/>
            <color indexed="81"/>
            <rFont val="Tahoma"/>
            <family val="2"/>
          </rPr>
          <t xml:space="preserve">Only monitoring report available
</t>
        </r>
      </text>
    </comment>
    <comment ref="V362" authorId="5">
      <text>
        <r>
          <rPr>
            <b/>
            <sz val="9"/>
            <color indexed="81"/>
            <rFont val="Tahoma"/>
            <family val="2"/>
          </rPr>
          <t xml:space="preserve">Only monitoring report available
</t>
        </r>
      </text>
    </comment>
    <comment ref="W362" authorId="5">
      <text>
        <r>
          <rPr>
            <b/>
            <sz val="9"/>
            <color indexed="81"/>
            <rFont val="Tahoma"/>
            <family val="2"/>
          </rPr>
          <t xml:space="preserve">Only monitoring report available
</t>
        </r>
      </text>
    </comment>
    <comment ref="X362" authorId="5">
      <text>
        <r>
          <rPr>
            <b/>
            <sz val="9"/>
            <color indexed="81"/>
            <rFont val="Tahoma"/>
            <family val="2"/>
          </rPr>
          <t xml:space="preserve">Only monitoring report available
</t>
        </r>
      </text>
    </comment>
    <comment ref="Q365" authorId="5">
      <text>
        <r>
          <rPr>
            <b/>
            <sz val="9"/>
            <color indexed="81"/>
            <rFont val="Tahoma"/>
            <family val="2"/>
          </rPr>
          <t xml:space="preserve">Verification reports not available, these numbers
 is from the first monitoring report
</t>
        </r>
      </text>
    </comment>
    <comment ref="W368" authorId="5">
      <text>
        <r>
          <rPr>
            <b/>
            <sz val="9"/>
            <color indexed="81"/>
            <rFont val="Tahoma"/>
            <family val="2"/>
          </rPr>
          <t xml:space="preserve">Only monitoring report available
</t>
        </r>
      </text>
    </comment>
    <comment ref="Y404" authorId="0">
      <text>
        <r>
          <rPr>
            <b/>
            <sz val="10"/>
            <color indexed="81"/>
            <rFont val="Tahoma"/>
            <family val="2"/>
          </rPr>
          <t>Before named Russian Carbon Fund</t>
        </r>
        <r>
          <rPr>
            <sz val="10"/>
            <color indexed="81"/>
            <rFont val="Tahoma"/>
            <family val="2"/>
          </rPr>
          <t xml:space="preserve">
</t>
        </r>
      </text>
    </comment>
    <comment ref="Y405" authorId="0">
      <text>
        <r>
          <rPr>
            <b/>
            <sz val="10"/>
            <color indexed="81"/>
            <rFont val="Tahoma"/>
            <family val="2"/>
          </rPr>
          <t>Before named Russian Carbon Fund</t>
        </r>
        <r>
          <rPr>
            <sz val="10"/>
            <color indexed="81"/>
            <rFont val="Tahoma"/>
            <family val="2"/>
          </rPr>
          <t xml:space="preserve">
</t>
        </r>
      </text>
    </comment>
    <comment ref="Y406" authorId="0">
      <text>
        <r>
          <rPr>
            <b/>
            <sz val="10"/>
            <color indexed="81"/>
            <rFont val="Tahoma"/>
            <family val="2"/>
          </rPr>
          <t>Before named Russian Carbon Fund</t>
        </r>
        <r>
          <rPr>
            <sz val="10"/>
            <color indexed="81"/>
            <rFont val="Tahoma"/>
            <family val="2"/>
          </rPr>
          <t xml:space="preserve">
</t>
        </r>
      </text>
    </comment>
    <comment ref="Y412" authorId="0">
      <text>
        <r>
          <rPr>
            <b/>
            <sz val="10"/>
            <color indexed="81"/>
            <rFont val="Tahoma"/>
            <family val="2"/>
          </rPr>
          <t>Before named Russian Carbon Fund</t>
        </r>
        <r>
          <rPr>
            <sz val="10"/>
            <color indexed="81"/>
            <rFont val="Tahoma"/>
            <family val="2"/>
          </rPr>
          <t xml:space="preserve">
</t>
        </r>
      </text>
    </comment>
    <comment ref="AA472" authorId="0">
      <text>
        <r>
          <rPr>
            <sz val="8"/>
            <color indexed="81"/>
            <rFont val="Tahoma"/>
            <family val="2"/>
          </rPr>
          <t xml:space="preserve">Was for validation from: 03/07/06
</t>
        </r>
      </text>
    </comment>
    <comment ref="G498" authorId="5">
      <text>
        <r>
          <rPr>
            <sz val="8"/>
            <color indexed="81"/>
            <rFont val="Tahoma"/>
            <family val="2"/>
          </rPr>
          <t xml:space="preserve">The first three issuances  were done under track 2
</t>
        </r>
      </text>
    </comment>
    <comment ref="L498" authorId="5">
      <text>
        <r>
          <rPr>
            <sz val="8"/>
            <color indexed="81"/>
            <rFont val="Tahoma"/>
            <family val="2"/>
          </rPr>
          <t xml:space="preserve">The first three issuances  were done under track 2
</t>
        </r>
      </text>
    </comment>
    <comment ref="Q498" authorId="5">
      <text>
        <r>
          <rPr>
            <sz val="8"/>
            <color indexed="81"/>
            <rFont val="Tahoma"/>
            <family val="2"/>
          </rPr>
          <t xml:space="preserve">The first three issuances  were done under track 2
</t>
        </r>
      </text>
    </comment>
    <comment ref="C720" authorId="5">
      <text>
        <r>
          <rPr>
            <b/>
            <sz val="8"/>
            <color indexed="81"/>
            <rFont val="Tahoma"/>
            <family val="2"/>
          </rPr>
          <t>Track 2 title: Utilization of Sunflower Seeds Husk for Heat and Power Production at Closed Joint-Stock Company (CJSC) “Pology Oil-Extraction Plant, South-East Ukraine</t>
        </r>
        <r>
          <rPr>
            <sz val="8"/>
            <color indexed="81"/>
            <rFont val="Tahoma"/>
            <family val="2"/>
          </rPr>
          <t xml:space="preserve">
</t>
        </r>
      </text>
    </comment>
    <comment ref="Q745" authorId="5">
      <text>
        <r>
          <rPr>
            <b/>
            <sz val="9"/>
            <color indexed="81"/>
            <rFont val="Tahoma"/>
            <family val="2"/>
          </rPr>
          <t>Not reported ot UNFCCC</t>
        </r>
      </text>
    </comment>
    <comment ref="Q746" authorId="5">
      <text>
        <r>
          <rPr>
            <b/>
            <sz val="9"/>
            <color indexed="81"/>
            <rFont val="Tahoma"/>
            <family val="2"/>
          </rPr>
          <t>Not reported to UNFCCC</t>
        </r>
      </text>
    </comment>
  </commentList>
</comments>
</file>

<file path=xl/comments2.xml><?xml version="1.0" encoding="utf-8"?>
<comments xmlns="http://schemas.openxmlformats.org/spreadsheetml/2006/main">
  <authors>
    <author>Jørgen Fenhann</author>
    <author>J. Fenhann, UNEP Risoe Centre</author>
    <author xml:space="preserve"> </author>
  </authors>
  <commentList>
    <comment ref="J4" authorId="0">
      <text>
        <r>
          <rPr>
            <b/>
            <sz val="8"/>
            <color indexed="81"/>
            <rFont val="Tahoma"/>
            <family val="2"/>
          </rPr>
          <t>This column subdivide the type into Resources, technology or
subsectors</t>
        </r>
      </text>
    </comment>
    <comment ref="L4" authorId="1">
      <text>
        <r>
          <rPr>
            <b/>
            <sz val="10"/>
            <color indexed="81"/>
            <rFont val="Tahoma"/>
            <family val="2"/>
          </rPr>
          <t>Average over 7/10 years or 20/30 years.</t>
        </r>
      </text>
    </comment>
    <comment ref="M4" authorId="1">
      <text>
        <r>
          <rPr>
            <b/>
            <sz val="10"/>
            <color indexed="81"/>
            <rFont val="Tahoma"/>
            <family val="2"/>
          </rPr>
          <t>Average over 2 nd 7 years or 2nd 20 years.</t>
        </r>
      </text>
    </comment>
    <comment ref="N4" authorId="0">
      <text>
        <r>
          <rPr>
            <b/>
            <sz val="9"/>
            <color indexed="81"/>
            <rFont val="Tahoma"/>
            <family val="2"/>
          </rPr>
          <t>If the expected GHG reductions change over the first 7 or 10 years, the increase is approximated with a line with the slope in this collumn (Unit ktCO2/yr). If negative reductions decrease over time.</t>
        </r>
        <r>
          <rPr>
            <sz val="8"/>
            <color indexed="81"/>
            <rFont val="Tahoma"/>
            <family val="2"/>
          </rPr>
          <t xml:space="preserve">
</t>
        </r>
      </text>
    </comment>
    <comment ref="V4" authorId="2">
      <text>
        <r>
          <rPr>
            <b/>
            <sz val="8"/>
            <color indexed="81"/>
            <rFont val="Tahoma"/>
            <family val="2"/>
          </rPr>
          <t xml:space="preserve"> This is defined as the CERs issued devided by the number of CERs expected in the PDD for the same period
</t>
        </r>
      </text>
    </comment>
    <comment ref="AF4" authorId="0">
      <text>
        <r>
          <rPr>
            <b/>
            <sz val="10"/>
            <color indexed="81"/>
            <rFont val="Tahoma"/>
            <family val="2"/>
          </rPr>
          <t xml:space="preserve">Correction 1: The project had a request for corrections after a request fro review.
</t>
        </r>
        <r>
          <rPr>
            <b/>
            <sz val="10"/>
            <color indexed="81"/>
            <rFont val="Tahoma"/>
            <family val="2"/>
          </rPr>
          <t>Correction 2: 
The project had a Request for correction after a review</t>
        </r>
      </text>
    </comment>
    <comment ref="AG4" authorId="0">
      <text>
        <r>
          <rPr>
            <b/>
            <sz val="8"/>
            <color indexed="81"/>
            <rFont val="Tahoma"/>
            <family val="2"/>
          </rPr>
          <t>The total MW installed at the end of 2012</t>
        </r>
      </text>
    </comment>
    <comment ref="AH4" authorId="0">
      <text>
        <r>
          <rPr>
            <b/>
            <sz val="10"/>
            <color indexed="81"/>
            <rFont val="Tahoma"/>
            <family val="2"/>
          </rPr>
          <t>If you multiply the number off full time equivalent hours in this column with the number of MW you get the electricity produced in MWh.</t>
        </r>
      </text>
    </comment>
  </commentList>
</comments>
</file>

<file path=xl/comments3.xml><?xml version="1.0" encoding="utf-8"?>
<comments xmlns="http://schemas.openxmlformats.org/spreadsheetml/2006/main">
  <authors>
    <author>Jørgen Fenhann</author>
    <author xml:space="preserve"> </author>
  </authors>
  <commentList>
    <comment ref="A11" authorId="0">
      <text>
        <r>
          <rPr>
            <b/>
            <sz val="8"/>
            <color indexed="81"/>
            <rFont val="Tahoma"/>
            <family val="2"/>
          </rPr>
          <t>This category contains both project that were withdrawn before and after they had requested registration.</t>
        </r>
      </text>
    </comment>
    <comment ref="D26" authorId="1">
      <text>
        <r>
          <rPr>
            <b/>
            <sz val="8"/>
            <color indexed="81"/>
            <rFont val="Tahoma"/>
            <family val="2"/>
          </rPr>
          <t>1 kCER= 1000 CER
Accumulated expected reduction 2008-2012</t>
        </r>
      </text>
    </comment>
    <comment ref="G26" authorId="1">
      <text>
        <r>
          <rPr>
            <b/>
            <sz val="8"/>
            <color indexed="81"/>
            <rFont val="Tahoma"/>
            <family val="2"/>
          </rPr>
          <t>1 kCER= 1000 CER
Accumulated expected reduction 2008-2012</t>
        </r>
      </text>
    </comment>
    <comment ref="J26" authorId="1">
      <text>
        <r>
          <rPr>
            <b/>
            <sz val="8"/>
            <color indexed="81"/>
            <rFont val="Tahoma"/>
            <family val="2"/>
          </rPr>
          <t>1 kCER= 1000 CER
Accumulated expected reduction 2008-2012</t>
        </r>
      </text>
    </comment>
    <comment ref="K26" authorId="1">
      <text>
        <r>
          <rPr>
            <b/>
            <sz val="8"/>
            <color indexed="81"/>
            <rFont val="Tahoma"/>
            <family val="2"/>
          </rPr>
          <t>This is the number of CDM projects that have got ERUs issued.</t>
        </r>
      </text>
    </comment>
    <comment ref="M26" authorId="1">
      <text>
        <r>
          <rPr>
            <b/>
            <sz val="8"/>
            <color indexed="81"/>
            <rFont val="Tahoma"/>
            <family val="2"/>
          </rPr>
          <t>The issuance success
 is the CERs issued devided by the CERs expected for the same period of time.</t>
        </r>
      </text>
    </comment>
    <comment ref="C60" authorId="1">
      <text>
        <r>
          <rPr>
            <b/>
            <sz val="8"/>
            <color indexed="81"/>
            <rFont val="Tahoma"/>
            <family val="2"/>
          </rPr>
          <t>1 kCER = 1000 CER</t>
        </r>
      </text>
    </comment>
    <comment ref="D60" authorId="1">
      <text>
        <r>
          <rPr>
            <b/>
            <sz val="8"/>
            <color indexed="81"/>
            <rFont val="Tahoma"/>
            <family val="2"/>
          </rPr>
          <t>1 kCER = 1000 CER</t>
        </r>
      </text>
    </comment>
    <comment ref="F60" authorId="1">
      <text>
        <r>
          <rPr>
            <b/>
            <sz val="8"/>
            <color indexed="81"/>
            <rFont val="Tahoma"/>
            <family val="2"/>
          </rPr>
          <t>1 kCER = 1000 CER</t>
        </r>
      </text>
    </comment>
    <comment ref="G60" authorId="1">
      <text>
        <r>
          <rPr>
            <b/>
            <sz val="8"/>
            <color indexed="81"/>
            <rFont val="Tahoma"/>
            <family val="2"/>
          </rPr>
          <t>1 kCER = 1000 CER</t>
        </r>
      </text>
    </comment>
    <comment ref="I60" authorId="1">
      <text>
        <r>
          <rPr>
            <b/>
            <sz val="8"/>
            <color indexed="81"/>
            <rFont val="Tahoma"/>
            <family val="2"/>
          </rPr>
          <t>1 kCER = 1000 CER</t>
        </r>
      </text>
    </comment>
    <comment ref="J60" authorId="1">
      <text>
        <r>
          <rPr>
            <b/>
            <sz val="8"/>
            <color indexed="81"/>
            <rFont val="Tahoma"/>
            <family val="2"/>
          </rPr>
          <t>1 kCER = 1000 CER</t>
        </r>
      </text>
    </comment>
    <comment ref="M60" authorId="1">
      <text>
        <r>
          <rPr>
            <b/>
            <sz val="8"/>
            <color indexed="81"/>
            <rFont val="Tahoma"/>
            <family val="2"/>
          </rPr>
          <t>1 kCER = 1000 CER</t>
        </r>
      </text>
    </comment>
    <comment ref="C95" authorId="1">
      <text>
        <r>
          <rPr>
            <b/>
            <sz val="8"/>
            <color indexed="81"/>
            <rFont val="Tahoma"/>
            <family val="2"/>
          </rPr>
          <t>1 kCER = 1000 CER</t>
        </r>
      </text>
    </comment>
    <comment ref="D95" authorId="1">
      <text>
        <r>
          <rPr>
            <b/>
            <sz val="8"/>
            <color indexed="81"/>
            <rFont val="Tahoma"/>
            <family val="2"/>
          </rPr>
          <t>1 kCER = 1000 CER</t>
        </r>
      </text>
    </comment>
    <comment ref="M95" authorId="1">
      <text>
        <r>
          <rPr>
            <b/>
            <sz val="8"/>
            <color indexed="81"/>
            <rFont val="Tahoma"/>
            <family val="2"/>
          </rPr>
          <t>1 kCER = 1000 CER</t>
        </r>
      </text>
    </comment>
    <comment ref="Q95" authorId="1">
      <text>
        <r>
          <rPr>
            <b/>
            <sz val="8"/>
            <color indexed="81"/>
            <rFont val="Tahoma"/>
            <family val="2"/>
          </rPr>
          <t>1 kCER = 1000 CER</t>
        </r>
      </text>
    </comment>
    <comment ref="N97" authorId="0">
      <text>
        <r>
          <rPr>
            <b/>
            <sz val="10"/>
            <color indexed="81"/>
            <rFont val="Tahoma"/>
            <family val="2"/>
          </rPr>
          <t>Total JI&lt;300 MERUs</t>
        </r>
        <r>
          <rPr>
            <sz val="10"/>
            <color indexed="81"/>
            <rFont val="Tahoma"/>
            <family val="2"/>
          </rPr>
          <t xml:space="preserve">
</t>
        </r>
      </text>
    </comment>
    <comment ref="E125" authorId="1">
      <text>
        <r>
          <rPr>
            <b/>
            <sz val="8"/>
            <color indexed="81"/>
            <rFont val="Tahoma"/>
            <family val="2"/>
          </rPr>
          <t>If a project is verified several times, it counts as only one here.</t>
        </r>
      </text>
    </comment>
  </commentList>
</comments>
</file>

<file path=xl/comments4.xml><?xml version="1.0" encoding="utf-8"?>
<comments xmlns="http://schemas.openxmlformats.org/spreadsheetml/2006/main">
  <authors>
    <author>J. Fenhann, UNEP Risoe Centre</author>
    <author>Schimmel, Martin Admin</author>
  </authors>
  <commentList>
    <comment ref="C8" authorId="0">
      <text>
        <r>
          <rPr>
            <sz val="8"/>
            <color indexed="81"/>
            <rFont val="Tahoma"/>
            <family val="2"/>
          </rPr>
          <t>Formally, Chuo Sustainability Research Institute Co. Ltd. (CSRI)</t>
        </r>
      </text>
    </comment>
    <comment ref="C9" authorId="0">
      <text>
        <r>
          <rPr>
            <b/>
            <sz val="8"/>
            <color indexed="81"/>
            <rFont val="Tahoma"/>
            <family val="2"/>
          </rPr>
          <t>Issues: Netinform Newsletter</t>
        </r>
      </text>
    </comment>
    <comment ref="C44" authorId="1">
      <text>
        <r>
          <rPr>
            <sz val="8"/>
            <color indexed="81"/>
            <rFont val="Tahoma"/>
            <family val="2"/>
          </rPr>
          <t>Before: Environmental Management Corp. (EMC)</t>
        </r>
      </text>
    </comment>
  </commentList>
</comments>
</file>

<file path=xl/sharedStrings.xml><?xml version="1.0" encoding="utf-8"?>
<sst xmlns="http://schemas.openxmlformats.org/spreadsheetml/2006/main" count="11937" uniqueCount="4109">
  <si>
    <t>Landfill gas recovery in Moscow Region – landfill site TIMOCHOVO</t>
  </si>
  <si>
    <t>Recovered  CO2 from tail gas substituting fossil fuels for production of CO2</t>
  </si>
  <si>
    <t>Chart 6:</t>
  </si>
  <si>
    <t>Nitrous Oxide Emission Reduction Project at GP Nitric Acid Aggregate in AB Achema Fertiliser Plant</t>
  </si>
  <si>
    <t>AM34</t>
  </si>
  <si>
    <t>UAB Ekostrategija</t>
  </si>
  <si>
    <t>Power  generation using AMS-I.D. is stated as an option. The calculation here is only with flaring.</t>
  </si>
  <si>
    <t>Scientific Engineering Centre "Biomass"</t>
  </si>
  <si>
    <t>PwC</t>
  </si>
  <si>
    <t>JI0316</t>
  </si>
  <si>
    <t>JIPoA0004</t>
  </si>
  <si>
    <t>JIPoA0004.1</t>
  </si>
  <si>
    <t>ECO - Plus - programmatic JI - programme by AGO AG: Early Conversion of Heating Systems from Fossil Fuels to Biomass</t>
  </si>
  <si>
    <t>Biomass Energy</t>
  </si>
  <si>
    <t>AMS-I.C.</t>
  </si>
  <si>
    <t>AGO AG</t>
  </si>
  <si>
    <t>Maisel Brewery</t>
  </si>
  <si>
    <t>Clouston Environmental Sdn. Bhd.</t>
  </si>
  <si>
    <t>AZSA &amp; Co</t>
  </si>
  <si>
    <t>Institute of Engineering Ecology Kiev</t>
  </si>
  <si>
    <t>Kharkiv</t>
  </si>
  <si>
    <t>Japan (Mitsui)</t>
  </si>
  <si>
    <t>China Classification Society Certification Company</t>
  </si>
  <si>
    <t xml:space="preserve"> 1-10,13</t>
  </si>
  <si>
    <t>CEPREI</t>
  </si>
  <si>
    <t xml:space="preserve">CEPREI certification body </t>
  </si>
  <si>
    <t xml:space="preserve"> 1-5,8-10,13,15</t>
  </si>
  <si>
    <t>Displacement of electricity generation with fossil fuels in the electricity grid by an electricity generation project with introduction of Steel Mill Waste Gas Firing Turbine power generation system (was first sumbtited as the track 2 project with ref=65)</t>
  </si>
  <si>
    <t xml:space="preserve"> + Programmatic track 1  projects</t>
  </si>
  <si>
    <t>Total including programmatic CPAs</t>
  </si>
  <si>
    <t>NEFCO</t>
  </si>
  <si>
    <t>Short</t>
  </si>
  <si>
    <t>name</t>
  </si>
  <si>
    <t>KFQ</t>
  </si>
  <si>
    <t>AZSA</t>
  </si>
  <si>
    <t>TECO</t>
  </si>
  <si>
    <t>ICONTEC</t>
  </si>
  <si>
    <t>Correction requested</t>
  </si>
  <si>
    <t xml:space="preserve">that the EB accredit the Applicant Entity (AE) once the CDM-AP has witnessed a CDM validation done by the AE. If this witnessing </t>
  </si>
  <si>
    <t>Denmark (Danish Ministry of Climate &amp; Energy)</t>
  </si>
  <si>
    <t>Denmark (Danish Ministry of Climate &amp; Energy), NEFCO</t>
  </si>
  <si>
    <t>Deloitte-TECO</t>
  </si>
  <si>
    <t xml:space="preserve">Deloitte Tohmatsu Evaluation and Certiification Organization </t>
  </si>
  <si>
    <t>DEM</t>
  </si>
  <si>
    <t>Dahua Engineering Management Group</t>
  </si>
  <si>
    <t>JI0390</t>
  </si>
  <si>
    <t>JI0391</t>
  </si>
  <si>
    <t>JI0392</t>
  </si>
  <si>
    <t>JI0393</t>
  </si>
  <si>
    <t>JI0394</t>
  </si>
  <si>
    <t>JI0395</t>
  </si>
  <si>
    <t>JI0396</t>
  </si>
  <si>
    <t>JI0397</t>
  </si>
  <si>
    <t>JI0398</t>
  </si>
  <si>
    <t>JI0399</t>
  </si>
  <si>
    <t>JI0400</t>
  </si>
  <si>
    <t>JI0402</t>
  </si>
  <si>
    <t xml:space="preserve"> Early mover JI0020</t>
  </si>
  <si>
    <t>Power System Egineering, Madison, Wisconsin.</t>
  </si>
  <si>
    <t xml:space="preserve"> Early mover JI0050. A total reconstruction of hydropower plant which was built at the beginning of last century. Before Týnec nad Sázavou - Brodce</t>
  </si>
  <si>
    <t>Didsiliai Wind Power Project</t>
  </si>
  <si>
    <t xml:space="preserve"> 1,3-4,13,15</t>
  </si>
  <si>
    <t>CQC</t>
  </si>
  <si>
    <t>China Quality Certification Center</t>
  </si>
  <si>
    <t>JI0222</t>
  </si>
  <si>
    <t>JI0223</t>
  </si>
  <si>
    <t>JI0224</t>
  </si>
  <si>
    <t>JI0225</t>
  </si>
  <si>
    <t>JI0226</t>
  </si>
  <si>
    <t>AM1 extended to SF6</t>
  </si>
  <si>
    <t>Dagestan</t>
  </si>
  <si>
    <t>Biomass wastes-to-energy project at JSC “Volga”</t>
  </si>
  <si>
    <t>bark and wood wastes (BWW) as well as sludge from wastewater treatment facilities (WWS)</t>
  </si>
  <si>
    <t>At determination (PDDs public)</t>
  </si>
  <si>
    <t>Total in the process of final determination</t>
  </si>
  <si>
    <t>Camco</t>
  </si>
  <si>
    <t>Carbon Market Solutions</t>
  </si>
  <si>
    <t>Sustainable Development level</t>
  </si>
  <si>
    <t>Meridian Energy, Carbon Market Solutions</t>
  </si>
  <si>
    <t>Manawatu-Wanganui</t>
  </si>
  <si>
    <t>PL1000053</t>
  </si>
  <si>
    <t>Lesser Poland</t>
  </si>
  <si>
    <t>Climate Experts, Mitsubishi</t>
  </si>
  <si>
    <t>Japan (Mitsubishi)</t>
  </si>
  <si>
    <t>Finland (Finnish Environmental Institute)</t>
  </si>
  <si>
    <t>Calarasi</t>
  </si>
  <si>
    <t>AM47 extended</t>
  </si>
  <si>
    <t>SC ENINVEST SA</t>
  </si>
  <si>
    <t>ACM3+ACM+ACM15+  AM24 extended</t>
  </si>
  <si>
    <t>Ryazan</t>
  </si>
  <si>
    <t>Combined cycle</t>
  </si>
  <si>
    <t>Leningrad</t>
  </si>
  <si>
    <t>Chuvashia</t>
  </si>
  <si>
    <t>Lamit-M</t>
  </si>
  <si>
    <t>North Rhine-Westphalia</t>
  </si>
  <si>
    <t>France (Rhônalpénenergie-Environment)</t>
  </si>
  <si>
    <t>CERs issued</t>
  </si>
  <si>
    <t>JI0318</t>
  </si>
  <si>
    <t>JI0319</t>
  </si>
  <si>
    <t>Enhancement of Sredneuralsk TPP by construction of CCU of 410 MW</t>
  </si>
  <si>
    <t>Sverdlovsk</t>
  </si>
  <si>
    <t>Sunflower seed husk utilization for heat production purposes at JSC “EFKO”</t>
  </si>
  <si>
    <t>Belgorod</t>
  </si>
  <si>
    <t xml:space="preserve"> PoA Boundary and      Province / State/Region</t>
  </si>
  <si>
    <t>Coordinating Entity</t>
  </si>
  <si>
    <t>Methodo-logy</t>
  </si>
  <si>
    <t>1st preriod ktCO2/yr</t>
  </si>
  <si>
    <t>2 nd preriod ktCO2/yr</t>
  </si>
  <si>
    <t>Period or Credit start</t>
  </si>
  <si>
    <t>2020 ktCO2</t>
  </si>
  <si>
    <t>Expected kCERs</t>
  </si>
  <si>
    <t>PoA/CPA Consultant</t>
  </si>
  <si>
    <t>Sustainable Develop-ment level</t>
  </si>
  <si>
    <t>EE       GWh red.</t>
  </si>
  <si>
    <t>Date of registra-tion or approval</t>
  </si>
  <si>
    <t>EnergieAgentur.NRW</t>
  </si>
  <si>
    <t>Germany (Dyckerhoff), Netherlands (Global Carbon BV)</t>
  </si>
  <si>
    <t>Global Carbob BV</t>
  </si>
  <si>
    <t>Reduction of PFC emissions from RUSAL Krasnoyarsk Aluminium Smelter</t>
  </si>
  <si>
    <t>AM30 extended</t>
  </si>
  <si>
    <t>RUSAL</t>
  </si>
  <si>
    <t>Waste gas utilization at JSC Shchekinoazot</t>
  </si>
  <si>
    <t>ACM12</t>
  </si>
  <si>
    <t>Waste gas</t>
  </si>
  <si>
    <t>JI0244</t>
  </si>
  <si>
    <t>JI0245</t>
  </si>
  <si>
    <t>JI0246</t>
  </si>
  <si>
    <t>JI0247</t>
  </si>
  <si>
    <t>Utilisation of CMM on the coal mine Chertinskaya-Koksovaya</t>
  </si>
  <si>
    <t>Nitrous oxide abatement in nitric acid production at OJSC “Rivneazot”</t>
  </si>
  <si>
    <t>Rivne</t>
  </si>
  <si>
    <t>Recovery and utilization of СО2 obtained in the ammonia production plant, JSC Salavatnefteorgsintez, Bashkortostan</t>
  </si>
  <si>
    <t>CO2 capture</t>
  </si>
  <si>
    <t>Production of Carbamid</t>
  </si>
  <si>
    <t>Utilisation of bark and wood wastes at Segezha Pulp and Paper Mill (SPPM)</t>
  </si>
  <si>
    <t>Karelia</t>
  </si>
  <si>
    <t>Waste gas replacing process heat from fossil fuels.</t>
  </si>
  <si>
    <t>GRUE &amp; HORNSTRUP</t>
  </si>
  <si>
    <t>Harghita &amp; Suceava &amp; Cluj &amp; Covasna counties</t>
  </si>
  <si>
    <t>JI0227</t>
  </si>
  <si>
    <t>AMS-II.C.</t>
  </si>
  <si>
    <t>Efficiency improvement in compressed air system</t>
  </si>
  <si>
    <t>Mitsubishi UFJ</t>
  </si>
  <si>
    <t>Factory energy efficiency improvement in compressed air demand at DENSO Manufacturing Hungary Ltd.</t>
  </si>
  <si>
    <t>Chart 5:</t>
  </si>
  <si>
    <t>Recovery of CH4 from oil wells, gas pipeline leaks, charcoal production</t>
  </si>
  <si>
    <t>Collection of landfill gas, composting, or incinerating of the waste in stead of landfilling</t>
  </si>
  <si>
    <t>Table 7:</t>
  </si>
  <si>
    <t>Table9:</t>
  </si>
  <si>
    <t>JI0286</t>
  </si>
  <si>
    <t xml:space="preserve">RWE Climate Bonus Project Heat Pumps </t>
  </si>
  <si>
    <t>Heat pumps</t>
  </si>
  <si>
    <t>RWE Westfalen-Weser-EMS</t>
  </si>
  <si>
    <t>JIPoA0003</t>
  </si>
  <si>
    <t>MWH Milan</t>
  </si>
  <si>
    <t>Accredited Independant Entities (AIE) used</t>
  </si>
  <si>
    <t>First issuance</t>
  </si>
  <si>
    <t>Submitted again later</t>
  </si>
  <si>
    <t>Province / State</t>
  </si>
  <si>
    <t>Full time hours</t>
  </si>
  <si>
    <t>Rejected</t>
  </si>
  <si>
    <t>Review history</t>
  </si>
  <si>
    <t>Registered, ERU issued</t>
  </si>
  <si>
    <t>Registered, no issuance of ERUs</t>
  </si>
  <si>
    <t>Seller</t>
  </si>
  <si>
    <t>Buyer</t>
  </si>
  <si>
    <t>MtCO2</t>
  </si>
  <si>
    <t>JI0228</t>
  </si>
  <si>
    <t>JI0229</t>
  </si>
  <si>
    <t>Utilization of Associated Petroleum Gas at Salym Petroleum Development N.V., Russia</t>
  </si>
  <si>
    <t>JI0321</t>
  </si>
  <si>
    <t>JI0322</t>
  </si>
  <si>
    <t>Japan (private companies)</t>
  </si>
  <si>
    <t>Efficiency enhancement of bark and wood wastes firing in the utilizing boiler house and fuel switch of the production heating boiler from fuel oil to natural gas at Neman PPM (NPPM)</t>
  </si>
  <si>
    <t>Kaliningrad</t>
  </si>
  <si>
    <t>Tyumen</t>
  </si>
  <si>
    <t>JI0291</t>
  </si>
  <si>
    <t>SNG gas gathering</t>
  </si>
  <si>
    <t>JI0292</t>
  </si>
  <si>
    <t>Status (for track 1 "registered" means approved by the host country</t>
  </si>
  <si>
    <t>Netherlands (SIA E kvotas)</t>
  </si>
  <si>
    <t>JI0288</t>
  </si>
  <si>
    <t>Increased electricity generation from existing hydropower stations through Decision Support System optimization at Eurosibenergo</t>
  </si>
  <si>
    <t>Sweden (Climate Change Capital)</t>
  </si>
  <si>
    <t>Irkutsk</t>
  </si>
  <si>
    <t>AM52</t>
  </si>
  <si>
    <t>More efficient hydro</t>
  </si>
  <si>
    <t>Climate Change Capital</t>
  </si>
  <si>
    <t>Perm</t>
  </si>
  <si>
    <t>AM1</t>
  </si>
  <si>
    <t>Rejected &amp; witdrawn projects not included</t>
  </si>
  <si>
    <t>JI0230</t>
  </si>
  <si>
    <t>JI0231</t>
  </si>
  <si>
    <t>JI0232</t>
  </si>
  <si>
    <t>JI0233</t>
  </si>
  <si>
    <t>JI0234</t>
  </si>
  <si>
    <t>JI0235</t>
  </si>
  <si>
    <t>CZ1000099</t>
  </si>
  <si>
    <t>UA1000100</t>
  </si>
  <si>
    <t>Ivano-Frankivsk Cement Switch from Wet-to-Dry Cement and Fuel Savings for Coal Drying</t>
  </si>
  <si>
    <t>Construction of Combined-cycle plant of 410 MW at Nevinnomysskaya TPP</t>
  </si>
  <si>
    <t>Energy Efficiency Programme at Astarta Sugar Mills, Ukraine.</t>
  </si>
  <si>
    <t>GreenStream Network</t>
  </si>
  <si>
    <t>Silute</t>
  </si>
  <si>
    <t>EE1000101</t>
  </si>
  <si>
    <t xml:space="preserve">Viru-Nigula Wind Farm </t>
  </si>
  <si>
    <t>JI0236</t>
  </si>
  <si>
    <t>JI0237</t>
  </si>
  <si>
    <t>JI0238</t>
  </si>
  <si>
    <t>JI0239</t>
  </si>
  <si>
    <t>JI0241</t>
  </si>
  <si>
    <t>JI0242</t>
  </si>
  <si>
    <t>JI0243</t>
  </si>
  <si>
    <t>RO1000080</t>
  </si>
  <si>
    <t xml:space="preserve">Romania Afforestation of Degraded Agricultural Land Project </t>
  </si>
  <si>
    <t>PCF</t>
  </si>
  <si>
    <t xml:space="preserve">Early mover JI0076. 6,033 ha of State-owned degraded agricultural lowlands in 7 counties </t>
  </si>
  <si>
    <t>JI0380</t>
  </si>
  <si>
    <t>JI0205</t>
  </si>
  <si>
    <t>JI0199</t>
  </si>
  <si>
    <t>JI0255</t>
  </si>
  <si>
    <t>Fuel switch at JSC Vyborgskaya Cellulose</t>
  </si>
  <si>
    <t>Leningrad region</t>
  </si>
  <si>
    <t>Efficiency improvement measures at existing landfill gas recovery systems in the Czech Republic</t>
  </si>
  <si>
    <t>Bohemia &amp; Moravia</t>
  </si>
  <si>
    <t>ACM1+ACM2</t>
  </si>
  <si>
    <t>Kirovograd</t>
  </si>
  <si>
    <t>RO1000021</t>
  </si>
  <si>
    <t>RO1000020</t>
  </si>
  <si>
    <t>Luhansk</t>
  </si>
  <si>
    <t>Nitrous oxide abatement in nitric acid production at LLC Mineral Fertilizer Plant of Kirovo-Chepetsk Khimichesky Kombinat in Russia</t>
  </si>
  <si>
    <t>Japan (Marubeni+Toyo Engineering)</t>
  </si>
  <si>
    <t>Climate Expert</t>
  </si>
  <si>
    <t>Kirov</t>
  </si>
  <si>
    <t>Reduction of methane emissions in the gas distribution network of the Smolensk Oblast</t>
  </si>
  <si>
    <t>Gas network</t>
  </si>
  <si>
    <t>Smolensk oblast</t>
  </si>
  <si>
    <t>Orenburg Oblast</t>
  </si>
  <si>
    <t>Reduction of methane emissions in the gas distribution network of the Orenburg Oblast</t>
  </si>
  <si>
    <t>Reduction of methane emissions in the gas distribution network of the Republic of Bashkortostan</t>
  </si>
  <si>
    <t>Bashkortostan</t>
  </si>
  <si>
    <t>“Catalytic N2O destruction project in the tail gas of eight nitric acid plants at Nevinnomyssky Azot”</t>
  </si>
  <si>
    <t>Stavropol</t>
  </si>
  <si>
    <t>Carbon Climate Protection</t>
  </si>
  <si>
    <t>“Catalytic N2O destruction project in the tail gas of two nitric acid plants at Novomoskovsky Azot”</t>
  </si>
  <si>
    <t>Tula oblast</t>
  </si>
  <si>
    <t>Japan (NEDO)</t>
  </si>
  <si>
    <t>Landfill gas (LFG) to energy on the municipal landfill Tzalapitza, Plovdiv</t>
  </si>
  <si>
    <t>Rodopi region</t>
  </si>
  <si>
    <t>Ecair Eastern Europe</t>
  </si>
  <si>
    <t>Cement plant construction using energy and resources saving technologies at “South-ural Mountain- processing Company”, Novotroitsk</t>
  </si>
  <si>
    <t>Orenburg Region</t>
  </si>
  <si>
    <t>Fuel switch of Novosibirsk boiler houses to natural gas</t>
  </si>
  <si>
    <t>Novosibirsk region</t>
  </si>
  <si>
    <t>ACM15</t>
  </si>
  <si>
    <t>Czech Republic</t>
  </si>
  <si>
    <t>Fossil Fuel switch</t>
  </si>
  <si>
    <t>Re-</t>
  </si>
  <si>
    <t>jected</t>
  </si>
  <si>
    <t>With</t>
  </si>
  <si>
    <t>Request registration</t>
  </si>
  <si>
    <t>AMS-II.B.</t>
  </si>
  <si>
    <t>JI0139</t>
  </si>
  <si>
    <t>Norsk Energi</t>
  </si>
  <si>
    <t>Ekostrategija</t>
  </si>
  <si>
    <t xml:space="preserve">Czech Republic </t>
  </si>
  <si>
    <t>Nexant inc.</t>
  </si>
  <si>
    <t>US</t>
  </si>
  <si>
    <t>New dam</t>
  </si>
  <si>
    <t>Sweden (NEFCO)</t>
  </si>
  <si>
    <t>AM13+own format</t>
  </si>
  <si>
    <t>Switch from one fossil fuel to another fossil fuel (including new natural pas power plants)</t>
  </si>
  <si>
    <t>JI0140</t>
  </si>
  <si>
    <t>JI0141</t>
  </si>
  <si>
    <t>JI0142</t>
  </si>
  <si>
    <t>JI0143</t>
  </si>
  <si>
    <t>Early mover JI0007. For district heating</t>
  </si>
  <si>
    <t>Early mover JI0018. For district heating</t>
  </si>
  <si>
    <t>Early mover JI0019. For district heating</t>
  </si>
  <si>
    <t>Early mover JI0009</t>
  </si>
  <si>
    <t>Procera Biodiesel Production Plant, Fundulea, biodiesel production and use for transportation in Romania</t>
  </si>
  <si>
    <t>Slage usage and switch from wet to semi-dry process at Volyn-Cement</t>
  </si>
  <si>
    <t>Klaipeda</t>
  </si>
  <si>
    <t>Project white hill</t>
  </si>
  <si>
    <t>Switzerland (Climate Cent Foundation))</t>
  </si>
  <si>
    <t>Southland</t>
  </si>
  <si>
    <t>JI0144</t>
  </si>
  <si>
    <t>JI0145</t>
  </si>
  <si>
    <t>WB-CF</t>
  </si>
  <si>
    <t>DK</t>
  </si>
  <si>
    <t>NEFCO (Danish Ministry of Climate &amp; Energy)</t>
  </si>
  <si>
    <t>Sweden (NEFCO), Denmark (Danish Ministry of Climate &amp; Energy)</t>
  </si>
  <si>
    <t>Sweden (Swedish Energy Agency), NEFCO, Denmark (Danish Ministry of Climate &amp; Energy)</t>
  </si>
  <si>
    <t>Germany (E.ON)</t>
  </si>
  <si>
    <t>Accredited Independent Entities for JI (in yellow)</t>
  </si>
  <si>
    <t>Designated Operational Entities for CDM (in yellow)</t>
  </si>
  <si>
    <t xml:space="preserve">JI projects in the pipeline </t>
  </si>
  <si>
    <t>Note: In some project more than one investor country participate.</t>
  </si>
  <si>
    <t>Tidal power</t>
  </si>
  <si>
    <t>New plant using biomass or existing ones changing from fossil to biomass, also biofuels</t>
  </si>
  <si>
    <t>More efficient transport</t>
  </si>
  <si>
    <t>Wind power</t>
  </si>
  <si>
    <t xml:space="preserve">Agriculture + cement + coal bed/mine + fugitive + landfill gas + </t>
  </si>
  <si>
    <t>BTI Biomass Waste-to-Energy Project</t>
  </si>
  <si>
    <t>Elements of AM36 &amp; ACM9</t>
  </si>
  <si>
    <t>Methane Emissions Avoidance in Yaroslavl gas distribution network</t>
  </si>
  <si>
    <t>Landfill Gas Capture Project in Poltava</t>
  </si>
  <si>
    <t>Japan (Shimizu+Mitsubishi+Chugoku Electric+Bank of Tokyo+Mitsubishi UFJ Securities)</t>
  </si>
  <si>
    <t>End of crediting period= end of 2022</t>
  </si>
  <si>
    <t>Shimizu Corporation</t>
  </si>
  <si>
    <t xml:space="preserve">Nitrous oxide abatement in nitric acid production at OJSC KuibyshevAzot </t>
  </si>
  <si>
    <t>End of crediting period= end of 2027</t>
  </si>
  <si>
    <t>Biogas + biomass energy + geothermal + hydro +solar + tidal + wind</t>
  </si>
  <si>
    <t>Energy distribution+EE households+EE industry+ EE service+EE supply side+transport</t>
  </si>
  <si>
    <t>KPMG Certification B.V.</t>
  </si>
  <si>
    <t>Japan Quality Assurance</t>
  </si>
  <si>
    <t>ChuoAoyama PwC Sustainability Research Institute Corporation</t>
  </si>
  <si>
    <t xml:space="preserve">TÜV Industrie Service GmbH - TÜV Süd Gruppe </t>
  </si>
  <si>
    <t xml:space="preserve">Société Générale de Surveillance UK </t>
  </si>
  <si>
    <t>kERUs</t>
  </si>
  <si>
    <t xml:space="preserve">MW installed in all </t>
  </si>
  <si>
    <t>No. of projects</t>
  </si>
  <si>
    <t>PDD Consultant</t>
  </si>
  <si>
    <t>Table 1:</t>
  </si>
  <si>
    <t>Table 2:</t>
  </si>
  <si>
    <t>Table 3:</t>
  </si>
  <si>
    <t>Table 4:</t>
  </si>
  <si>
    <t>Short name</t>
  </si>
  <si>
    <t>Table 5:</t>
  </si>
  <si>
    <t>Table 6:</t>
  </si>
  <si>
    <t>Table 8:</t>
  </si>
  <si>
    <t>JI0172</t>
  </si>
  <si>
    <t>JI0173</t>
  </si>
  <si>
    <t>Kaunas</t>
  </si>
  <si>
    <t>JI0174</t>
  </si>
  <si>
    <t>JI0175</t>
  </si>
  <si>
    <t>JI0176</t>
  </si>
  <si>
    <t>JI0177</t>
  </si>
  <si>
    <t xml:space="preserve">Jägala Hydropower Joint Implementation Project </t>
  </si>
  <si>
    <t>LHCarbon OÜ</t>
  </si>
  <si>
    <t>Methane Emissions Avoidance in the Nevinnomyssk Gas Distribution Network</t>
  </si>
  <si>
    <t>ICF International + National Methane Centre Russia</t>
  </si>
  <si>
    <t>Methane Emissions Avoidance in the Rostov Gas Distribution Network</t>
  </si>
  <si>
    <t>Methane Emissions Avoidance in the Volgograd Gas Distribution Network</t>
  </si>
  <si>
    <t>Methane Emissions Avoidance in the Vologda Gas Distribution Network</t>
  </si>
  <si>
    <t>DUNIN EC</t>
  </si>
  <si>
    <t>Coal Mine Methane</t>
  </si>
  <si>
    <t>JI0300</t>
  </si>
  <si>
    <t>HFC23 Destruction Project – VOCCO, JSC Khimprom of Volgograd, Volgograd</t>
  </si>
  <si>
    <t>United K. (Climate Change Capital)</t>
  </si>
  <si>
    <t>Volgograd</t>
  </si>
  <si>
    <t>Methane emissions avoidance in Kursk gas distribution network</t>
  </si>
  <si>
    <t>Global Carbon B.V.</t>
  </si>
  <si>
    <t>JI0132</t>
  </si>
  <si>
    <t>JI0308</t>
  </si>
  <si>
    <t>Canterbury</t>
  </si>
  <si>
    <t>TFA=CF3COOH</t>
  </si>
  <si>
    <t>Arkhangelsk</t>
  </si>
  <si>
    <t>Luxemburg (Carbon Trade and Finance)</t>
  </si>
  <si>
    <t>Methane Emissions Avoidance in Kostroma Gas Distribution Network.</t>
  </si>
  <si>
    <t>National Methane Centre’</t>
  </si>
  <si>
    <t>Energy distribution.</t>
  </si>
  <si>
    <t>Energy demand</t>
  </si>
  <si>
    <t>JI0387</t>
  </si>
  <si>
    <t>JI0388</t>
  </si>
  <si>
    <t>Griezpelkiu wind power park project</t>
  </si>
  <si>
    <t xml:space="preserve">Lithuania </t>
  </si>
  <si>
    <t>Taurage</t>
  </si>
  <si>
    <t xml:space="preserve">Implementation of arc-furnace steelmaking at Magnitogorsk Iron and Steel Works </t>
  </si>
  <si>
    <t>Vejo gusis</t>
  </si>
  <si>
    <t>72,11 mill.Lt),</t>
  </si>
  <si>
    <t>JI0389</t>
  </si>
  <si>
    <t>EE households. EE service. EE industry.</t>
  </si>
  <si>
    <t>Manufacturing industries</t>
  </si>
  <si>
    <t>1,2,3,10</t>
  </si>
  <si>
    <t xml:space="preserve"> 1-13</t>
  </si>
  <si>
    <t>Was = JI0148</t>
  </si>
  <si>
    <t>URS</t>
  </si>
  <si>
    <t xml:space="preserve">ERM Certification and Verification Service Ltd. </t>
  </si>
  <si>
    <t>British Standard Institution</t>
  </si>
  <si>
    <t>Conestoga Rovers &amp; Associates Ltd.</t>
  </si>
  <si>
    <t>Technology Institute of Parana</t>
  </si>
  <si>
    <t>Nippon Kaiji Kentei Quality Assurance Limited</t>
  </si>
  <si>
    <t xml:space="preserve">Table 1: </t>
  </si>
  <si>
    <t>JI0146</t>
  </si>
  <si>
    <t>JI0147</t>
  </si>
  <si>
    <t>JI0149</t>
  </si>
  <si>
    <t>Methane Emissions Avoidance in Tula gas distribution network.</t>
  </si>
  <si>
    <t>Small Hydropower station SHPS Potochnitsa</t>
  </si>
  <si>
    <t>National Electric Company EAD</t>
  </si>
  <si>
    <t>France Project contractor and equipment supplier:
MECAMIDI</t>
  </si>
  <si>
    <t>Methane Emissions Avoidance in Stavropol Gas Distribution Network</t>
  </si>
  <si>
    <t>National Methane Centre, Russia</t>
  </si>
  <si>
    <t>W.L.Gore &amp; Associates (Germany)</t>
  </si>
  <si>
    <t>Projects where lime in the cement is replaced by other materials</t>
  </si>
  <si>
    <t>CH4 is collected from coal mines or coal beds</t>
  </si>
  <si>
    <t>Eastern Europe</t>
  </si>
  <si>
    <t>JI projects</t>
  </si>
  <si>
    <t xml:space="preserve">Registration Requested  (cumulative)    </t>
  </si>
  <si>
    <t>Data for graph 3:</t>
  </si>
  <si>
    <t>JI0285</t>
  </si>
  <si>
    <t>Reduction of methane emissions in the low pressure gas distribution network of the Chuvashia Republic</t>
  </si>
  <si>
    <t>Methane Capture, Power and Heat Generation from Coal Mine Gas in the Concession HER-TEUTO</t>
  </si>
  <si>
    <t>Methane Capture, Power and Heat Generation from Coal Mine Gas in the Concession HER-Wan-Thal</t>
  </si>
  <si>
    <t>Emission Trader ET</t>
  </si>
  <si>
    <t>Early mover JI0116</t>
  </si>
  <si>
    <t xml:space="preserve">Redundant catalytic decomposition of residual nitrous oxide (N2O) from the BASF adipic acid plant in Ludwigshafen </t>
  </si>
  <si>
    <t>Rhineland-Palatinate</t>
  </si>
  <si>
    <t>FutureCamp GmbH</t>
  </si>
  <si>
    <t>Number of months between start comment date and host country LoA:</t>
  </si>
  <si>
    <t>Total number of requests for registration:</t>
  </si>
  <si>
    <t>Energy Efficiency improvements in domestic houses and appliances</t>
  </si>
  <si>
    <t>Energy Efficiency improvements in buildings and appliances in public &amp; private sevice</t>
  </si>
  <si>
    <t>More efficient power plants producing electricity and district heat</t>
  </si>
  <si>
    <t>New hydro power plants</t>
  </si>
  <si>
    <t>Geothermal energy</t>
  </si>
  <si>
    <t>Austria (Kommunalkredit)</t>
  </si>
  <si>
    <t>JI0257</t>
  </si>
  <si>
    <t>JI0258</t>
  </si>
  <si>
    <t>JI0259</t>
  </si>
  <si>
    <t>JI0260</t>
  </si>
  <si>
    <t>JI0261</t>
  </si>
  <si>
    <t>JI0262</t>
  </si>
  <si>
    <t xml:space="preserve">Te Apiti Wind Farm </t>
  </si>
  <si>
    <t>UNFCCC Ref. or    ITL ID</t>
  </si>
  <si>
    <t>Netherlands (SenterNovem)</t>
  </si>
  <si>
    <t>HFC-23 destruction</t>
  </si>
  <si>
    <t>United K. (Carbon Capital Markets)</t>
  </si>
  <si>
    <t>Gotsatlinsk Hydro Power Project</t>
  </si>
  <si>
    <t xml:space="preserve">Completion of construction of Zaramagsk hydro power plants
</t>
  </si>
  <si>
    <t>Utilization of biomass for steam and power supply at Peresechansk sunflower oil extraction mill (PSOEM)</t>
  </si>
  <si>
    <t>Japan (Chugoku Electric+Shimizu Corporation)</t>
  </si>
  <si>
    <t>JI0353</t>
  </si>
  <si>
    <t>JI0354</t>
  </si>
  <si>
    <t>JI0355</t>
  </si>
  <si>
    <t>JI0356</t>
  </si>
  <si>
    <t>PL1000054</t>
  </si>
  <si>
    <t>PL1000055</t>
  </si>
  <si>
    <t>PL1000056</t>
  </si>
  <si>
    <t>PL1000057</t>
  </si>
  <si>
    <t>PL1000058</t>
  </si>
  <si>
    <t>PL1000059</t>
  </si>
  <si>
    <t>United K. (Citigroup  Global Markets)</t>
  </si>
  <si>
    <t>AM34+AM38</t>
  </si>
  <si>
    <t>Catalytic Reduction of N2O inside the Ammonia Burners of the Nitric Acid Plant in Puławy (=Ref 141)</t>
  </si>
  <si>
    <t>Track 2 projects (JI0255, REF=141) resubmitted as track 1.</t>
  </si>
  <si>
    <t>Track 2 projects (JI0199, REF=85) resubmitted as track 1.</t>
  </si>
  <si>
    <t>Track 2 projects (JI0205, REF=91) resubmitted as track 1.</t>
  </si>
  <si>
    <t>Methane capture and utilization from treatment of swine manure, biomass and organic waste, Zachodnio Pomorskie, Poland and Pomorskie, Poland</t>
  </si>
  <si>
    <t>Pomeranian</t>
  </si>
  <si>
    <t>Manure</t>
  </si>
  <si>
    <t>Q1-10</t>
  </si>
  <si>
    <t>Q2-10</t>
  </si>
  <si>
    <t>Q3-10</t>
  </si>
  <si>
    <t>Q4-10</t>
  </si>
  <si>
    <t>Łubna, Sosonowiec, Łegajny Landfill Gas</t>
  </si>
  <si>
    <t>Masovian &amp; Silesian &amp; Warmian-Masurian</t>
  </si>
  <si>
    <t>Hedeselskabet</t>
  </si>
  <si>
    <t xml:space="preserve">Utilisation of wood chips for heating purposes in urban areas plant in the town of Jelenia Gora </t>
  </si>
  <si>
    <t>Wood cuttings from city greenery maintenance</t>
  </si>
  <si>
    <t>Lower Silesian</t>
  </si>
  <si>
    <t>Netherlands (VROM)</t>
  </si>
  <si>
    <t xml:space="preserve">Stargard Geothermal District Heating Project </t>
  </si>
  <si>
    <t>Geothermal heating</t>
  </si>
  <si>
    <t>Early mover JI0031</t>
  </si>
  <si>
    <t>West Pomeranian</t>
  </si>
  <si>
    <t>Spain (Gamesa)</t>
  </si>
  <si>
    <t>JI0305</t>
  </si>
  <si>
    <t>CO2 emission reduction through fuel switch at Gorno-Altaisk district boiler house</t>
  </si>
  <si>
    <t>Coal to Natural gas</t>
  </si>
  <si>
    <t>n.a. (Krayton Assets)</t>
  </si>
  <si>
    <t>Altai</t>
  </si>
  <si>
    <t>National Methan Centre</t>
  </si>
  <si>
    <t>UA1000025</t>
  </si>
  <si>
    <t>UA1000026</t>
  </si>
  <si>
    <t>UA1000027</t>
  </si>
  <si>
    <t>UA1000028</t>
  </si>
  <si>
    <t>JI0182</t>
  </si>
  <si>
    <t>JI0326</t>
  </si>
  <si>
    <t>Construction of a new 75 MW gas turbine unit at Nizhnekamskneftekhim Inc.</t>
  </si>
  <si>
    <t>Refurbishment of Belgorod CHPP with installation of two Gas Turbine Units of 30 MW each</t>
  </si>
  <si>
    <t>Switzerland (Cargill International)</t>
  </si>
  <si>
    <t>Energy Carbon Fund (under JSC)</t>
  </si>
  <si>
    <t>Fuel Switch from Coal and Fuel Oil to Natural Gas at Savinsky Cement Plant</t>
  </si>
  <si>
    <t>JI0183</t>
  </si>
  <si>
    <t>JI0184</t>
  </si>
  <si>
    <t>JI0185</t>
  </si>
  <si>
    <t>JI0186</t>
  </si>
  <si>
    <t xml:space="preserve"> Early mover JI0038</t>
  </si>
  <si>
    <t>ERM CVS</t>
  </si>
  <si>
    <t>Early mover JI 0030</t>
  </si>
  <si>
    <t>Carbon-Aero Kft</t>
  </si>
  <si>
    <t>Hajdú-Bihar</t>
  </si>
  <si>
    <t>Szebolcs-Szatmar-Bereg</t>
  </si>
  <si>
    <t>Japan (Tohoku Electric)</t>
  </si>
  <si>
    <t>Tohoku Electric</t>
  </si>
  <si>
    <t>Evolution Markets + MAKK</t>
  </si>
  <si>
    <t>Veszprém</t>
  </si>
  <si>
    <t xml:space="preserve">Netherlands </t>
  </si>
  <si>
    <t>Erupt 3 project</t>
  </si>
  <si>
    <t>Vertis Env. Finance</t>
  </si>
  <si>
    <t>Rehabilitation of the district heating system of Crimea</t>
  </si>
  <si>
    <t>Early mover JI0002 (Erupt 1). Wood chips from firewood and forestry waste</t>
  </si>
  <si>
    <t>Borsod</t>
  </si>
  <si>
    <t>WBCF</t>
  </si>
  <si>
    <t>Woodchips from forests</t>
  </si>
  <si>
    <t>Early mover JI0041. Project document in Hungarian!!</t>
  </si>
  <si>
    <t>Near Pécs city</t>
  </si>
  <si>
    <t>Féjer</t>
  </si>
  <si>
    <t>JI0187</t>
  </si>
  <si>
    <t>JI0188</t>
  </si>
  <si>
    <t>JI0189</t>
  </si>
  <si>
    <t>Energy switch to renewables in Novoshakhtinsk, Rostov region</t>
  </si>
  <si>
    <t>3 Heatpumps take heat from abandoned coal mines filled with water. El from a 1,7 MW hydro on exixting dam + gas CHP.</t>
  </si>
  <si>
    <t>Methane Emissions Avoidance in Tomsk Gas Distribution Network</t>
  </si>
  <si>
    <t>Core Carbon Group</t>
  </si>
  <si>
    <t>End of crediting period= end of 2017</t>
  </si>
  <si>
    <t>Reduction of N2O from production of nitric acid, adipic acid, caprolactam</t>
  </si>
  <si>
    <t>JI0166</t>
  </si>
  <si>
    <t>Landfill gas recovery on the Radiowo landfill in Warsaw</t>
  </si>
  <si>
    <t>Netherland (SenterNovem)</t>
  </si>
  <si>
    <t>ACM1+AMS-I.D.</t>
  </si>
  <si>
    <t>JI0295</t>
  </si>
  <si>
    <t>NZ1000001</t>
  </si>
  <si>
    <t>NZ1000002</t>
  </si>
  <si>
    <t>NZ1000003</t>
  </si>
  <si>
    <t>NZ1000004</t>
  </si>
  <si>
    <t>NZ1000005</t>
  </si>
  <si>
    <t>HU1000006</t>
  </si>
  <si>
    <t>HU1000007</t>
  </si>
  <si>
    <t>HU1000008</t>
  </si>
  <si>
    <t>HU1000009</t>
  </si>
  <si>
    <t>HU1000010</t>
  </si>
  <si>
    <t>HU1000011</t>
  </si>
  <si>
    <t>HU1000012</t>
  </si>
  <si>
    <t>HU1000013</t>
  </si>
  <si>
    <t>DE1000014</t>
  </si>
  <si>
    <t>DE1000015</t>
  </si>
  <si>
    <t>DE1000017</t>
  </si>
  <si>
    <t>DE1000018</t>
  </si>
  <si>
    <t>DE1000016</t>
  </si>
  <si>
    <t>DE1000019</t>
  </si>
  <si>
    <t>Sawdust 2000</t>
  </si>
  <si>
    <t>Ecair Eastern Europe BV.</t>
  </si>
  <si>
    <t>Reduction of emissions of PFCs</t>
  </si>
  <si>
    <t>Solar PV, solar water heating, solar cooking</t>
  </si>
  <si>
    <t>activity is successfull, the EB can consider to register the validated CDM project.</t>
  </si>
  <si>
    <t>Denmark (Russian Carbon Fund)</t>
  </si>
  <si>
    <t>ktCO2e/yr</t>
  </si>
  <si>
    <t>Carbon Trade and Finance</t>
  </si>
  <si>
    <t>EE           GWh red.</t>
  </si>
  <si>
    <t>Request for registration (Determination reports)</t>
  </si>
  <si>
    <t>JI0324</t>
  </si>
  <si>
    <t>Energy saving measures at isoprene production at Nizhnekamskneftekhim Inc.</t>
  </si>
  <si>
    <t>Tatarstan</t>
  </si>
  <si>
    <t>Lapes Landfill Gas Utilisation for Energy, LFG Kaunas</t>
  </si>
  <si>
    <t>GreenStream Network Ltd.</t>
  </si>
  <si>
    <t>Minoil Flare Gas Reduction Project</t>
  </si>
  <si>
    <t>Germany</t>
  </si>
  <si>
    <t>JI0124</t>
  </si>
  <si>
    <t>JI0125</t>
  </si>
  <si>
    <t>JI0126</t>
  </si>
  <si>
    <t>PricewaterhouseCoopers Certification B.V.</t>
  </si>
  <si>
    <t>Estonia</t>
  </si>
  <si>
    <t>Netherlands (IBRD)</t>
  </si>
  <si>
    <t>How the project types are defined in the Pipeline</t>
  </si>
  <si>
    <t>According to LULUCF rules</t>
  </si>
  <si>
    <t>Projects producing biogas that is flared</t>
  </si>
  <si>
    <t>Projects producing biogas that is used for energy purposes</t>
  </si>
  <si>
    <t>Invest-ment US$/tCO2</t>
  </si>
  <si>
    <t>Invest-ment US$/kW</t>
  </si>
  <si>
    <t>Percentage</t>
  </si>
  <si>
    <t>Implementation of Resource-Saving Technologies at JSC “Ural Steel”, Novotroitsk, Russia</t>
  </si>
  <si>
    <t>Bulgaria</t>
  </si>
  <si>
    <t>JI0156</t>
  </si>
  <si>
    <t>JI0287</t>
  </si>
  <si>
    <t>Nitrous oxide abatement in nitric acid production at JSC “Minudobreniya”, Rossosh</t>
  </si>
  <si>
    <t>Voronezh</t>
  </si>
  <si>
    <t>JI0157</t>
  </si>
  <si>
    <t>JI0158</t>
  </si>
  <si>
    <t>JI0159</t>
  </si>
  <si>
    <t>Combined Vodokanal Wastewater Sludge Incinerator Projects, St. Petersburg.</t>
  </si>
  <si>
    <t>Benaiciai Wind Power Project</t>
  </si>
  <si>
    <t>Vestas 2750 kW</t>
  </si>
  <si>
    <t xml:space="preserve"> At determination</t>
  </si>
  <si>
    <t>Determined</t>
  </si>
  <si>
    <t>JI track 1</t>
  </si>
  <si>
    <t>Track 1 projects</t>
  </si>
  <si>
    <t>Total JI</t>
  </si>
  <si>
    <t>All JI  projects</t>
  </si>
  <si>
    <t>Q1-08</t>
  </si>
  <si>
    <t>Q2-08</t>
  </si>
  <si>
    <t>Q3-08</t>
  </si>
  <si>
    <t>Q4-08</t>
  </si>
  <si>
    <t>Karbandino-Balkarian</t>
  </si>
  <si>
    <t xml:space="preserve"> 22,64W7m2 for the additional reservoir</t>
  </si>
  <si>
    <t>ECF Project</t>
  </si>
  <si>
    <t>CO2 emission reduction through fuel switch at 14 small boiler-houses in Kolpashevo town</t>
  </si>
  <si>
    <t>Coal and oil to natural gas</t>
  </si>
  <si>
    <t>OREC</t>
  </si>
  <si>
    <t xml:space="preserve"> 18 district heating boiler houses replaced</t>
  </si>
  <si>
    <t>Wind Energy Park "Universum Energy"</t>
  </si>
  <si>
    <t xml:space="preserve"> 25 Vestas V-90 2MW</t>
  </si>
  <si>
    <t>Zaporizhia</t>
  </si>
  <si>
    <t>Area Varna</t>
  </si>
  <si>
    <t>CoGen Engineering</t>
  </si>
  <si>
    <t>Q1-09</t>
  </si>
  <si>
    <t>Q2-09</t>
  </si>
  <si>
    <t>Q3-09</t>
  </si>
  <si>
    <t>Q4-09</t>
  </si>
  <si>
    <t>Canada</t>
  </si>
  <si>
    <t>Chemicals</t>
  </si>
  <si>
    <t>Paper</t>
  </si>
  <si>
    <t>Petrochemicals</t>
  </si>
  <si>
    <t>Coke oven</t>
  </si>
  <si>
    <t>JACO</t>
  </si>
  <si>
    <t>Chart 1:</t>
  </si>
  <si>
    <t>Chart 2:</t>
  </si>
  <si>
    <t>Chart 3:</t>
  </si>
  <si>
    <t>JI projects in the pipeline (numbers, ERUs &amp; issuance)</t>
  </si>
  <si>
    <t>Track 2 projects</t>
  </si>
  <si>
    <t>World Bank</t>
  </si>
  <si>
    <t>2012 kERUs</t>
  </si>
  <si>
    <t>Types of JI projects by status (All tracks)</t>
  </si>
  <si>
    <t>Host region/country for JI projects by status</t>
  </si>
  <si>
    <t>Russia &amp; Ukraine</t>
  </si>
  <si>
    <t>Total JI countries</t>
  </si>
  <si>
    <t>ERUs/yr (000)</t>
  </si>
  <si>
    <t xml:space="preserve"> 2012 ERUs (000)</t>
  </si>
  <si>
    <t>ERUs Issued (000)</t>
  </si>
  <si>
    <t>Region/Country for JI projects (No. of projects)</t>
  </si>
  <si>
    <t>Region/Country for JI projects (Total 2012 kERUs)</t>
  </si>
  <si>
    <t>Wind JI projects</t>
  </si>
  <si>
    <t>Reduction in losses in transmission/distribution of electricity/distric heat</t>
  </si>
  <si>
    <t>Biomass JI projects</t>
  </si>
  <si>
    <t>Hydro JI projects</t>
  </si>
  <si>
    <t>URS Verification Ltd.</t>
  </si>
  <si>
    <t>Netherlands (EBRD), NEFCO</t>
  </si>
  <si>
    <t>Methodology</t>
  </si>
  <si>
    <t>Biogas</t>
  </si>
  <si>
    <t>HFCs</t>
  </si>
  <si>
    <t>JCI</t>
  </si>
  <si>
    <t>JI0191</t>
  </si>
  <si>
    <t>JI0192</t>
  </si>
  <si>
    <t>JI0193</t>
  </si>
  <si>
    <t>JI0301</t>
  </si>
  <si>
    <t>Capture and Use of Biogas at Chelyabinsk Municipal Solid Waste Landfill</t>
  </si>
  <si>
    <t>Chelyabinsk</t>
  </si>
  <si>
    <t>JI0194</t>
  </si>
  <si>
    <t>CMM utilisation on the coal mine Shcheglovskaya-Glubokaya of the State Holding Joint-Stock Company „GOAO Shakhtoupravlenye Donbass“</t>
  </si>
  <si>
    <t>Netherlands (Carbon-TF)</t>
  </si>
  <si>
    <t>Heat and power generation + additional methane is flared.</t>
  </si>
  <si>
    <t>Emissions-Trader ET GmbH</t>
  </si>
  <si>
    <t>CMM utilisation on the Coal Mine № 22 “Kommunarskaya” of the State Holding Joint-Stock Company „GOAO Shakhtoupravlenye Donbass"</t>
  </si>
  <si>
    <t>CMM utilisation on the Joint Stock Company named Komsomolets Donbassa Coal Mine of DTEK (Donbasskaya Toplivnaya Energeticheskaya Kompanya)</t>
  </si>
  <si>
    <t>JI0348</t>
  </si>
  <si>
    <t>JI0349</t>
  </si>
  <si>
    <t>Modernization of the “ChTPZ Group” steel-smelting operations</t>
  </si>
  <si>
    <t>Second in the volume of pipe making in the Russian Federation.</t>
  </si>
  <si>
    <t>Sverdlovsk &amp; Chelyabinsk</t>
  </si>
  <si>
    <t>New natural gas</t>
  </si>
  <si>
    <t>Switzerland (Rutek Trading)</t>
  </si>
  <si>
    <t>CMM utilisation on the coal mine Molodogvardeyskaya of the Joint Stock Company Krasnodonugol</t>
  </si>
  <si>
    <t>British Standard Institution (BSI)</t>
  </si>
  <si>
    <t>Utilization of Coal Mine Methane at the Coal Mine Sukhodilska-Skhidna</t>
  </si>
  <si>
    <t>Global Carbon</t>
  </si>
  <si>
    <t>JI0210</t>
  </si>
  <si>
    <t>JI0211</t>
  </si>
  <si>
    <t>JI0212</t>
  </si>
  <si>
    <t>JI0213</t>
  </si>
  <si>
    <t>Redundant thermal decomposition of residual nitrous oxide (N2O) from the LANXESS adipic acid production in Krefeld-Uerdingen</t>
  </si>
  <si>
    <t>AM21</t>
  </si>
  <si>
    <t>FutureCamp</t>
  </si>
  <si>
    <t>Coal Mine Methane Capture and Utilization at KWK Borynia Coal Mine</t>
  </si>
  <si>
    <t>Japan (Chugoku Electric)</t>
  </si>
  <si>
    <t>Chugoku Electric+Mizuho</t>
  </si>
  <si>
    <t>Petrozavodsk Boiler House Conversions from Mazut to Natural Gas</t>
  </si>
  <si>
    <t>AMS-III.B.</t>
  </si>
  <si>
    <t>Pöyry Energy</t>
  </si>
  <si>
    <t>Expected kERUs</t>
  </si>
  <si>
    <t>ACM2</t>
  </si>
  <si>
    <t>Energy distrib.</t>
  </si>
  <si>
    <t>Languedoc-Roussillon</t>
  </si>
  <si>
    <t>Trifluoroacetic Acid</t>
  </si>
  <si>
    <t>Rhodia</t>
  </si>
  <si>
    <t>Japan Audit and Certification Organisation for Env. And Quality</t>
  </si>
  <si>
    <t>Renewables</t>
  </si>
  <si>
    <t>Agricultural residues: other kinds</t>
  </si>
  <si>
    <t>Total number of projects (incl. rejected &amp; withdrawn)</t>
  </si>
  <si>
    <t>ACM1</t>
  </si>
  <si>
    <t>Title</t>
  </si>
  <si>
    <t>Installation of two CCGT-400 at Surgutskaya TPP-2, OGK-4, Tyumen area, Russia.</t>
  </si>
  <si>
    <t>Installation of new CCGT-400 at Yaivinskaya TPP, OGK-4, Perm area, Russia.</t>
  </si>
  <si>
    <t>Waste heaps dismantling with the aim of decreasing the greenhouse gases emissions into the atmosphere.</t>
  </si>
  <si>
    <t xml:space="preserve">Rõuste Wind Power Joint Implementation Project. </t>
  </si>
  <si>
    <t>Hamburg</t>
  </si>
  <si>
    <t>AM30+Own methodology</t>
  </si>
  <si>
    <t>Until</t>
  </si>
  <si>
    <t>LRQA</t>
  </si>
  <si>
    <t>Italy</t>
  </si>
  <si>
    <t>KPMG</t>
  </si>
  <si>
    <t>Solar</t>
  </si>
  <si>
    <t>Average delay for those with delay &gt;0:</t>
  </si>
  <si>
    <t>Months</t>
  </si>
  <si>
    <t>No. of reg. with delay &gt; 0</t>
  </si>
  <si>
    <t xml:space="preserve">Type </t>
  </si>
  <si>
    <t>Korean Standards</t>
  </si>
  <si>
    <t>Ukraine</t>
  </si>
  <si>
    <t>JI0121</t>
  </si>
  <si>
    <t>Name</t>
  </si>
  <si>
    <t>No.</t>
  </si>
  <si>
    <t xml:space="preserve">Graph 2: </t>
  </si>
  <si>
    <t>JI0128</t>
  </si>
  <si>
    <t>New 20 MW Cogeneration Equipment in CET Timisoara Centru</t>
  </si>
  <si>
    <t>JI0165</t>
  </si>
  <si>
    <t>Climate Experts</t>
  </si>
  <si>
    <t>TÜV Industrie Service GmbH - TÜV Rheinland Group</t>
  </si>
  <si>
    <t>Total expected</t>
  </si>
  <si>
    <t>Issued</t>
  </si>
  <si>
    <t>EE service</t>
  </si>
  <si>
    <t xml:space="preserve">Fugitive </t>
  </si>
  <si>
    <t>drawn</t>
  </si>
  <si>
    <t>Name not avalibale</t>
  </si>
  <si>
    <t>HFC, PFC &amp; N2O reduction</t>
  </si>
  <si>
    <t>Q1-07</t>
  </si>
  <si>
    <t>Q2-07</t>
  </si>
  <si>
    <t>Q3-07</t>
  </si>
  <si>
    <t>Q4-07</t>
  </si>
  <si>
    <t>BV Cert</t>
  </si>
  <si>
    <t>Bureau Veritas Certification</t>
  </si>
  <si>
    <t>S. Korea</t>
  </si>
  <si>
    <t>Netherlands</t>
  </si>
  <si>
    <t>2012 kCERs</t>
  </si>
  <si>
    <t>Turceni Energy Efficiency Project</t>
  </si>
  <si>
    <t>Turceni Energy Complex, Theo Consulting srl (Romania) and EcoSecurities Ltd. (UK)</t>
  </si>
  <si>
    <t>AM39+ACM13</t>
  </si>
  <si>
    <t xml:space="preserve">Rehabilitating an existing thermal power plant unit. </t>
  </si>
  <si>
    <t>%</t>
  </si>
  <si>
    <t>TEKOS provide technology</t>
  </si>
  <si>
    <t>AMS-II.A.+AMS-II.B.</t>
  </si>
  <si>
    <t>JI0385</t>
  </si>
  <si>
    <t>JI0386</t>
  </si>
  <si>
    <t>More efficient coal power</t>
  </si>
  <si>
    <t>Like AM61</t>
  </si>
  <si>
    <t>Investment Million US$</t>
  </si>
  <si>
    <t>New dry cement line installation at OJSC “ Sukholozhskcement”, Sverdlovsk area</t>
  </si>
  <si>
    <t>AM23</t>
  </si>
  <si>
    <t>per year</t>
  </si>
  <si>
    <t>JI track 2</t>
  </si>
  <si>
    <t>Spain</t>
  </si>
  <si>
    <t>Totals</t>
  </si>
  <si>
    <t>Haskoningen Nederland</t>
  </si>
  <si>
    <t>from the host country has been calculated for all projects requesting registration and registered projects.</t>
  </si>
  <si>
    <t>PFCs</t>
  </si>
  <si>
    <t>Japan Consulting Institute</t>
  </si>
  <si>
    <t>Tararua Wind Farm Stage III</t>
  </si>
  <si>
    <t>Japan (Kansai Electric)</t>
  </si>
  <si>
    <t xml:space="preserve">Vestas V90-3 MW turbines </t>
  </si>
  <si>
    <t>JI0264</t>
  </si>
  <si>
    <t>JI0265</t>
  </si>
  <si>
    <t>JI0266</t>
  </si>
  <si>
    <t>JI0267</t>
  </si>
  <si>
    <t>JI0268</t>
  </si>
  <si>
    <t>JI0269</t>
  </si>
  <si>
    <t>JSC "Sixth Wholesale Power Market Generating Company" (WGC-6) + ECF Project Ltd.</t>
  </si>
  <si>
    <t>JI0270</t>
  </si>
  <si>
    <t>JI0271</t>
  </si>
  <si>
    <t>JI0272</t>
  </si>
  <si>
    <t>JI0273</t>
  </si>
  <si>
    <t>JI0274</t>
  </si>
  <si>
    <t>JI0275</t>
  </si>
  <si>
    <t>JI0276</t>
  </si>
  <si>
    <t>JI0277</t>
  </si>
  <si>
    <t>JI0278</t>
  </si>
  <si>
    <t xml:space="preserve">Biomass Retrofit at AES Borsod Power Plant </t>
  </si>
  <si>
    <t xml:space="preserve">Biomass Retrofit at Bakonyi Power Plant </t>
  </si>
  <si>
    <t xml:space="preserve">Pannonpower Gas and Biomass Cogeneration Project </t>
  </si>
  <si>
    <t>Exim-Invest Biogas</t>
  </si>
  <si>
    <t xml:space="preserve">Pálhalma Biogas Project </t>
  </si>
  <si>
    <t xml:space="preserve">South Nyírség Bioenergy Project </t>
  </si>
  <si>
    <t>N2O emission reduction project at Nitrogénművek Rt.</t>
  </si>
  <si>
    <t>JI0345</t>
  </si>
  <si>
    <t>DE1000050</t>
  </si>
  <si>
    <t>Mine gas flaring at shaft Nordschacht</t>
  </si>
  <si>
    <t>Saarland</t>
  </si>
  <si>
    <t xml:space="preserve">Debrecen landfill gas mitigation project </t>
  </si>
  <si>
    <t>JI0299</t>
  </si>
  <si>
    <t>Timisoara Combined Heat and Power Rehabilitation for CET Sud Location</t>
  </si>
  <si>
    <t>ENinvest</t>
  </si>
  <si>
    <t>District heating plant upgrated to CHP. 33% natural gas, 67 % lignite. Early mover JI0094</t>
  </si>
  <si>
    <t>JIPoA0006</t>
  </si>
  <si>
    <t>JIPoA0006.1</t>
  </si>
  <si>
    <t>DE1000128</t>
  </si>
  <si>
    <t>CZ1000103</t>
  </si>
  <si>
    <t>CZ1000104</t>
  </si>
  <si>
    <t>CZ1000105</t>
  </si>
  <si>
    <t>CZ1000106</t>
  </si>
  <si>
    <t>CZ1000107</t>
  </si>
  <si>
    <t>CZ1000108</t>
  </si>
  <si>
    <t>CZ1000109</t>
  </si>
  <si>
    <t>CZ1000110</t>
  </si>
  <si>
    <t>CZ1000111</t>
  </si>
  <si>
    <t>CZ1000112</t>
  </si>
  <si>
    <t>CZ1000113</t>
  </si>
  <si>
    <t>CZ1000114</t>
  </si>
  <si>
    <t>UA1000115</t>
  </si>
  <si>
    <t>CZ1000116</t>
  </si>
  <si>
    <t>CZ1000117</t>
  </si>
  <si>
    <t>CZ1000118</t>
  </si>
  <si>
    <t>CZ1000119</t>
  </si>
  <si>
    <t>CZ1000120</t>
  </si>
  <si>
    <t>CZ1000121</t>
  </si>
  <si>
    <t>CZ1000122</t>
  </si>
  <si>
    <t>CZ1000123</t>
  </si>
  <si>
    <t>CZ1000124</t>
  </si>
  <si>
    <t>CZ1000125</t>
  </si>
  <si>
    <t>CZ1000126</t>
  </si>
  <si>
    <t>CZ1000127</t>
  </si>
  <si>
    <t>Imtech Contracting</t>
  </si>
  <si>
    <t>HVAC &amp; lighting</t>
  </si>
  <si>
    <t>”Imtech energy efficiency programme” by Imtech Contracting GmbH &amp; Co. KG for use of regenerative
thermal oxidation</t>
  </si>
  <si>
    <t>Hungary (Matra)</t>
  </si>
  <si>
    <t>Odessa</t>
  </si>
  <si>
    <t>Natural gas pipelines</t>
  </si>
  <si>
    <t>Engineering Technological Institute “Biotekhnika” of UAAN</t>
  </si>
  <si>
    <t>Japan (J-Power)</t>
  </si>
  <si>
    <t>Timis</t>
  </si>
  <si>
    <t>CHP</t>
  </si>
  <si>
    <t>KWI, Austria</t>
  </si>
  <si>
    <t>Vertis Enveronmental Finance</t>
  </si>
  <si>
    <t>Germany (GE Jenbacher GmbH.)</t>
  </si>
  <si>
    <t xml:space="preserve">Japan Quality Assurance </t>
  </si>
  <si>
    <t>Spanish Association for Standardisation and Certification</t>
  </si>
  <si>
    <t>Hungary</t>
  </si>
  <si>
    <t>Slovakia</t>
  </si>
  <si>
    <t>CAMCO</t>
  </si>
  <si>
    <t>ECON Carbon</t>
  </si>
  <si>
    <t>number</t>
  </si>
  <si>
    <t>Applied also for</t>
  </si>
  <si>
    <t>AMS-I.D.</t>
  </si>
  <si>
    <t>AMS-III.D.</t>
  </si>
  <si>
    <t>MW</t>
  </si>
  <si>
    <t>ACM8</t>
  </si>
  <si>
    <t>Nexant</t>
  </si>
  <si>
    <t>German technology</t>
  </si>
  <si>
    <t>Coal bed/mine methane</t>
  </si>
  <si>
    <t>Austrian format</t>
  </si>
  <si>
    <t>Poland</t>
  </si>
  <si>
    <t>Type</t>
  </si>
  <si>
    <t>Country</t>
  </si>
  <si>
    <t>Brazil</t>
  </si>
  <si>
    <t>PricewaterhouseCoopers (PwC)- South Africa</t>
  </si>
  <si>
    <t xml:space="preserve"> 1-15</t>
  </si>
  <si>
    <t>Switzerland</t>
  </si>
  <si>
    <t>Credit buyer</t>
  </si>
  <si>
    <t>ECON</t>
  </si>
  <si>
    <t>Table 2: Scopes versus Types</t>
  </si>
  <si>
    <t>Track</t>
  </si>
  <si>
    <t>JI0134</t>
  </si>
  <si>
    <t>Number of projects</t>
  </si>
  <si>
    <t>Host country for JI projects</t>
  </si>
  <si>
    <t>Verkh-Tarskoye Oilfield (VTOF) Gas Utilization</t>
  </si>
  <si>
    <t>Novosibirsk</t>
  </si>
  <si>
    <t>Carbon Limits</t>
  </si>
  <si>
    <t>Zheshart biofuel conversion project</t>
  </si>
  <si>
    <t>Energy industries (renewable - / non-renewable sources)</t>
  </si>
  <si>
    <t>technology provider is Byisk Boiler Works</t>
  </si>
  <si>
    <t>Ecopolice Ltd.</t>
  </si>
  <si>
    <t>ACM4 adjusted</t>
  </si>
  <si>
    <t>EE supply. EE industry. Wind. Hydro. Biomass energy. Geothermal. Wind. Solar. Tidal.</t>
  </si>
  <si>
    <t>Host LoA</t>
  </si>
  <si>
    <t>Improvement of efficiency in power generation by Bratsk Hydropower Plant, Irkutsk Oblast</t>
  </si>
  <si>
    <t xml:space="preserve">Greenhouse gas emission reduction through energy efficiency improvement in the communal heating system of Zima town, Irkutsk Oblast </t>
  </si>
  <si>
    <t>Introduction of energy efficiency measures at ISTIL mini steel mill</t>
  </si>
  <si>
    <t>JI0190</t>
  </si>
  <si>
    <t>Accredited</t>
  </si>
  <si>
    <t>“Amursk CHPP-1: Switch from Coal to Gas of Two Boilers with Implementation of Energy Efficiency Measures”</t>
  </si>
  <si>
    <t>Energy Carbon Fund</t>
  </si>
  <si>
    <t>Tjeck whether JI0022+Ji0071 are the same as this one.</t>
  </si>
  <si>
    <t>Lithuania</t>
  </si>
  <si>
    <t>Afforestation &amp; Reforestation</t>
  </si>
  <si>
    <t>Methane Capture and Power Generation from Coal Mine Methane in the Concession HER-FRIED</t>
  </si>
  <si>
    <t>ACM9</t>
  </si>
  <si>
    <t>Additions</t>
  </si>
  <si>
    <t>Tsinghua Coway International Techtrans Co., Ltd.</t>
  </si>
  <si>
    <t>Low-pressure associated petroleum gas utilization at Enisei Ltd., Usinsk, Komi Republic</t>
  </si>
  <si>
    <t>Oil field flaring reduction</t>
  </si>
  <si>
    <t>CO2 collection</t>
  </si>
  <si>
    <t>Tsinghua</t>
  </si>
  <si>
    <t>Energy efficiency</t>
  </si>
  <si>
    <t>JI0346</t>
  </si>
  <si>
    <t>HU1000051</t>
  </si>
  <si>
    <t xml:space="preserve">Landfill gas mitigation project on seven Hungarian landfills </t>
  </si>
  <si>
    <t>Carbon-Aero</t>
  </si>
  <si>
    <t xml:space="preserve">PDD in Hungarian. Valideret af Tüv-nord </t>
  </si>
  <si>
    <t>Indicative lettter: After the Desk Review and the On-site assessment is completed successful, the CDM Assessment Panel recommend</t>
  </si>
  <si>
    <t>TÜV-Rhein</t>
  </si>
  <si>
    <t>Tidal</t>
  </si>
  <si>
    <t>5 towns with district heating. Four-track pipelines replaced by two-track pipelines. Early mover JI0016</t>
  </si>
  <si>
    <t>Date of approval (45 days after request for track 2)</t>
  </si>
  <si>
    <t>PDD in French</t>
  </si>
  <si>
    <t>Vestas, early mover JI0011</t>
  </si>
  <si>
    <t>Early mover JI0044</t>
  </si>
  <si>
    <t>Japan (J-Power), Switzerland (Cargill International SA)</t>
  </si>
  <si>
    <t>Korean Foundation for Quality</t>
  </si>
  <si>
    <t>Tohmatsu Evaluation and Certiification Organization</t>
  </si>
  <si>
    <t xml:space="preserve">This colour means: Info missing on Ressource/technology </t>
  </si>
  <si>
    <t>Scope</t>
  </si>
  <si>
    <t>National Carbon Sequestration Foundation</t>
  </si>
  <si>
    <t xml:space="preserve">Biomass energy </t>
  </si>
  <si>
    <t>EE households</t>
  </si>
  <si>
    <t>EE industry</t>
  </si>
  <si>
    <t>The time span (in months) between the start of the comment period under the validation and the date of the Letter Of Approval (LoA)</t>
  </si>
  <si>
    <t>JI0085</t>
  </si>
  <si>
    <t>JI0090</t>
  </si>
  <si>
    <t>Methane Emissions Avoidance in the Novgorod Gas Distribution Network</t>
  </si>
  <si>
    <t>JI0207</t>
  </si>
  <si>
    <t>JI0208</t>
  </si>
  <si>
    <t>JI0209</t>
  </si>
  <si>
    <t>Methane Emissions Avoidance in the Pskov Gas Distribution Network.</t>
  </si>
  <si>
    <t>AM23+own format</t>
  </si>
  <si>
    <t>JI0304</t>
  </si>
  <si>
    <t>DE1000023</t>
  </si>
  <si>
    <t>DE1000024</t>
  </si>
  <si>
    <t>Bayerngas Ökobonusprogramm Gewerbe- und Industriekunden</t>
  </si>
  <si>
    <t>AMS-II.E.+AMS-II.D.+AMS-III.B.</t>
  </si>
  <si>
    <t>Bayerngas</t>
  </si>
  <si>
    <t>Southern Bavaria</t>
  </si>
  <si>
    <t>JIPoA0001.1</t>
  </si>
  <si>
    <t>JIPoA0003.1</t>
  </si>
  <si>
    <t>JIPoA0003.2</t>
  </si>
  <si>
    <t>JI0365</t>
  </si>
  <si>
    <t>JI0366</t>
  </si>
  <si>
    <t>JI0367</t>
  </si>
  <si>
    <t>JI0368</t>
  </si>
  <si>
    <t>EE1000066</t>
  </si>
  <si>
    <t>EE1000067</t>
  </si>
  <si>
    <t>EE1000068</t>
  </si>
  <si>
    <t>EE1000069</t>
  </si>
  <si>
    <t xml:space="preserve">Kadrina Bioenergy Project </t>
  </si>
  <si>
    <t>VTT</t>
  </si>
  <si>
    <t>Finland (Finland Ministry for Foreign Affairs)</t>
  </si>
  <si>
    <t>Lääne-Viru</t>
  </si>
  <si>
    <t xml:space="preserve">Pakri Wind Farm Project </t>
  </si>
  <si>
    <t>EMP-Projects</t>
  </si>
  <si>
    <t>Harju</t>
  </si>
  <si>
    <t xml:space="preserve">Tamsalu Bioenergy Project </t>
  </si>
  <si>
    <t xml:space="preserve">Paide Bioenergy Project </t>
  </si>
  <si>
    <t>Electrowatt-Ekono</t>
  </si>
  <si>
    <t>Järva</t>
  </si>
  <si>
    <t>Bayerngas Ökobonusprogramm Gewerbe- und Industriekunden, hot water boiler replacement</t>
  </si>
  <si>
    <t>Bayerngas Ökobonusprogramm Gewerbe- und Industriekunden, steam boiler</t>
  </si>
  <si>
    <t>JIPoA0002.1</t>
  </si>
  <si>
    <t>France (Caisse des dépôts)</t>
  </si>
  <si>
    <t>Energy efficient heating and steam boilers</t>
  </si>
  <si>
    <t>Boilers</t>
  </si>
  <si>
    <t>Catalytic reduction of N2O inside the Ammonia Burners of the BASF Nitric Acid Plant in Ludwigshafen</t>
  </si>
  <si>
    <t>Methane Emissions Avoidance in the Saratov Gas Distribution Network</t>
  </si>
  <si>
    <t>JI0092</t>
  </si>
  <si>
    <t>JIPoA0001</t>
  </si>
  <si>
    <t>JIPoA0002</t>
  </si>
  <si>
    <t>JI0096</t>
  </si>
  <si>
    <t>JI0097</t>
  </si>
  <si>
    <t>JI0098</t>
  </si>
  <si>
    <t>JI0099</t>
  </si>
  <si>
    <t>JI0100</t>
  </si>
  <si>
    <t>EE Households</t>
  </si>
  <si>
    <t>EE Service</t>
  </si>
  <si>
    <t>Registered</t>
  </si>
  <si>
    <t>n.a. (CAMCO)</t>
  </si>
  <si>
    <t>Wind</t>
  </si>
  <si>
    <t>Hydro</t>
  </si>
  <si>
    <t>Geothermal</t>
  </si>
  <si>
    <t>Cement</t>
  </si>
  <si>
    <t>Total</t>
  </si>
  <si>
    <t xml:space="preserve">Estonia </t>
  </si>
  <si>
    <t>Latvia</t>
  </si>
  <si>
    <t>Forest biomass</t>
  </si>
  <si>
    <t>Sweden</t>
  </si>
  <si>
    <t>Austria</t>
  </si>
  <si>
    <t>CH4 reduction &amp; Cement &amp; Coal mine/bed</t>
  </si>
  <si>
    <t>N2O</t>
  </si>
  <si>
    <t>JI</t>
  </si>
  <si>
    <t xml:space="preserve">Iron &amp; steel </t>
  </si>
  <si>
    <t>Boiler-houses conversion from coal and mazut to biomass and natural gas in Kirov oblast</t>
  </si>
  <si>
    <t>JI0181</t>
  </si>
  <si>
    <t>Conversion of 116 municipal boiler-houses from coal and mazut to biomass (wood, wood chips and sawdust) and natural gas</t>
  </si>
  <si>
    <t>Alsace</t>
  </si>
  <si>
    <t>FORCE Technology</t>
  </si>
  <si>
    <t>Methane Gas Utilisation from Bane Handlová Coal Mine</t>
  </si>
  <si>
    <t xml:space="preserve">End-use Energy Efficiency improvements in industry </t>
  </si>
  <si>
    <t>Waste heat or waste gas used for electricity production in industry</t>
  </si>
  <si>
    <t>Quality Tonnes</t>
  </si>
  <si>
    <t>JI0163</t>
  </si>
  <si>
    <t>JI0164</t>
  </si>
  <si>
    <t>Sudenai and Lendimai Wind Power Joint Implementation Project</t>
  </si>
  <si>
    <t>Enercon 2MW turbines</t>
  </si>
  <si>
    <t>Nelja Energia OÜ + LHCarbon OÜ,</t>
  </si>
  <si>
    <t>Austria (ECOCOM)</t>
  </si>
  <si>
    <t>Lublin Voivodeship</t>
  </si>
  <si>
    <t>JI0290</t>
  </si>
  <si>
    <t>Nitrous oxide abatement in nitric acid production at OJSC “Azot”, Berezniki</t>
  </si>
  <si>
    <t>Tanzer Consulting GmbH.</t>
  </si>
  <si>
    <t>Sreden Iskar Cascade HPP Portfolio Project</t>
  </si>
  <si>
    <t>MWH S.p.A.</t>
  </si>
  <si>
    <t>COWI A/S</t>
  </si>
  <si>
    <t>DE1000082</t>
  </si>
  <si>
    <t>JIPoA0005</t>
  </si>
  <si>
    <t>JIPoA0005.1</t>
  </si>
  <si>
    <t>Active Climate Protection – CO2 Bonus natural gas</t>
  </si>
  <si>
    <t>EWE AG Supply area</t>
  </si>
  <si>
    <t>Like AMS-II.E. +AMS-II.B</t>
  </si>
  <si>
    <t>Active Climate Protection – CO2 Bonus natural gas – JPA 1</t>
  </si>
  <si>
    <t>EWE AG</t>
  </si>
  <si>
    <t>Insulation &amp; fuel switch</t>
  </si>
  <si>
    <t>Energy conservation at Khimki District Heating Company</t>
  </si>
  <si>
    <t xml:space="preserve"> 1-5, 8-10, 13</t>
  </si>
  <si>
    <t xml:space="preserve"> 7, 11</t>
  </si>
  <si>
    <t>SQS</t>
  </si>
  <si>
    <t>Sirim Qas International Sdn.Bhd</t>
  </si>
  <si>
    <t>1-5,13</t>
  </si>
  <si>
    <t>1-8,10-11,13-15</t>
  </si>
  <si>
    <t>Japan Management Association</t>
  </si>
  <si>
    <t>JMA</t>
  </si>
  <si>
    <t>1-4,6,8-9,14</t>
  </si>
  <si>
    <t>1,2,3 Withdrawn EB44</t>
  </si>
  <si>
    <t>Coal Mine Methane capture and utilization at Holodnaya Balka mine in Donetsk Oblast</t>
  </si>
  <si>
    <t xml:space="preserve">Ukraine </t>
  </si>
  <si>
    <t>JI0168</t>
  </si>
  <si>
    <t>JI0169</t>
  </si>
  <si>
    <t>JI0170</t>
  </si>
  <si>
    <t>JI0171</t>
  </si>
  <si>
    <t>Associated petroleum gas (APG) flaring reduction project at the North-Danilovsk oil field, Western Siberia</t>
  </si>
  <si>
    <t>JI0383</t>
  </si>
  <si>
    <t>JI0384</t>
  </si>
  <si>
    <t>MGM International, Energy Carbon Fund</t>
  </si>
  <si>
    <t>Enhancement of Yuzhnaia CHP – 22 of St-Petersburg. Construction of unit #4</t>
  </si>
  <si>
    <t>Portfolio of Wind Power Plants in the Autonomous Republic of Crimea (WPP-300)</t>
  </si>
  <si>
    <t>Turbines by Martifer Group based on REpower license</t>
  </si>
  <si>
    <t>ACM2+own format</t>
  </si>
  <si>
    <t>Nepers AG</t>
  </si>
  <si>
    <t>Baratayevka Landfill Gas Flaring and Treatment Project – Ulyanovsk</t>
  </si>
  <si>
    <t>CMM utilisation for heat generation and flaring – “Pivdennodonbaska No 3”</t>
  </si>
  <si>
    <t>Donetsk</t>
  </si>
  <si>
    <t>Upper Silesia</t>
  </si>
  <si>
    <t>Scientific Engineering Center “Biomass”</t>
  </si>
  <si>
    <t>Replacement of old boilers by the new highly efficient boilers; - Switching of load from boiler-houses with obsolete equipment to modern equipped boiler houses and CHP. - Switching of boiler-houses from coal to natural gas; - Improving of the network organization; - Application of the pre-insulated pipes; - Installation of combined heat and power plants; - Installation of frequency controllers at electric drives of blowing equipment and hot water pumps engines.</t>
  </si>
  <si>
    <t>Sunflower seed husks</t>
  </si>
  <si>
    <t>Germany (RWE)</t>
  </si>
  <si>
    <t>RWE</t>
  </si>
  <si>
    <t>No. projects</t>
  </si>
  <si>
    <t xml:space="preserve">Energy Efficiency </t>
  </si>
  <si>
    <t>Number of</t>
  </si>
  <si>
    <t>Ireland</t>
  </si>
  <si>
    <t>Lloyd's Register Quality Assurance Ltd.</t>
  </si>
  <si>
    <t>can be grouped with other renewables.</t>
  </si>
  <si>
    <t>UNEP Risoe CDM/JI Pipeline Types</t>
  </si>
  <si>
    <t>Carbon-TF B.V.</t>
  </si>
  <si>
    <t>Accumulated Subtotals</t>
  </si>
  <si>
    <t>Agriculture</t>
  </si>
  <si>
    <t>2012 ktCO2</t>
  </si>
  <si>
    <t>Credit start</t>
  </si>
  <si>
    <t>Status</t>
  </si>
  <si>
    <t>New Zealand</t>
  </si>
  <si>
    <t>GLC</t>
  </si>
  <si>
    <t>Germanischer Lloyd Certification</t>
  </si>
  <si>
    <t>Forest residues: other</t>
  </si>
  <si>
    <t>ID</t>
  </si>
  <si>
    <t>Sub-type</t>
  </si>
  <si>
    <t>Food</t>
  </si>
  <si>
    <t>Machinery</t>
  </si>
  <si>
    <t xml:space="preserve">Under review </t>
  </si>
  <si>
    <t>Rejected by EB</t>
  </si>
  <si>
    <t>Verifier</t>
  </si>
  <si>
    <t>ECA CERT, Certification, S.A.</t>
  </si>
  <si>
    <t>ECA CERT</t>
  </si>
  <si>
    <t>When the LoA comes before the validation the value on the graph is negative.</t>
  </si>
  <si>
    <t>Issuance success</t>
  </si>
  <si>
    <t>JI0131</t>
  </si>
  <si>
    <t>Under or finished Validation</t>
  </si>
  <si>
    <t>Verbundplan GmbH</t>
  </si>
  <si>
    <t>Comment</t>
  </si>
  <si>
    <t>Biomass energy</t>
  </si>
  <si>
    <t xml:space="preserve">Det Norske Veritas Certification </t>
  </si>
  <si>
    <t>n.a.</t>
  </si>
  <si>
    <t>Advanced Waste Management Systems Inc.</t>
  </si>
  <si>
    <t>RINA S.p.A</t>
  </si>
  <si>
    <t>RINA</t>
  </si>
  <si>
    <t>AWMS</t>
  </si>
  <si>
    <t xml:space="preserve">Ukraine   </t>
  </si>
  <si>
    <t>Netherlands (E – energy B.V.)</t>
  </si>
  <si>
    <t>Institute of Engineering Ecology</t>
  </si>
  <si>
    <t>JI0196</t>
  </si>
  <si>
    <t>JI0197</t>
  </si>
  <si>
    <t>JI0198</t>
  </si>
  <si>
    <t>JI0200</t>
  </si>
  <si>
    <t>JI0201</t>
  </si>
  <si>
    <t>JI0202</t>
  </si>
  <si>
    <t>JI0203</t>
  </si>
  <si>
    <t>JI0204</t>
  </si>
  <si>
    <t>JI0206</t>
  </si>
  <si>
    <t>Methane Emissions Avoidance in the Tver Gas Distribution Network</t>
  </si>
  <si>
    <t>ICF International</t>
  </si>
  <si>
    <t>Adjusted AM0023</t>
  </si>
  <si>
    <t>JI0317</t>
  </si>
  <si>
    <t>Single cycle to combined cycle</t>
  </si>
  <si>
    <t xml:space="preserve">n.a. </t>
  </si>
  <si>
    <t>Netherlands, Spain, Switzerland (Stichting Carbon Finance (SCF))</t>
  </si>
  <si>
    <t>Poltava &amp; Vinnytsia</t>
  </si>
  <si>
    <t>ACM II.D</t>
  </si>
  <si>
    <t>Poltava</t>
  </si>
  <si>
    <t>Utilization of bark and wood waste with the generation of heat energy at the Novovyatskiy Ski Plant</t>
  </si>
  <si>
    <t xml:space="preserve">Early mover JI0054. A total reconstruction of hydropower plant which was built at the beginning of last century. </t>
  </si>
  <si>
    <t>Ivano-Frankivsk</t>
  </si>
  <si>
    <t>ACM3+ACM5</t>
  </si>
  <si>
    <t>Swedish Energy Agency+NEFCO</t>
  </si>
  <si>
    <t>WSP Environmental Oy</t>
  </si>
  <si>
    <t>Vologda</t>
  </si>
  <si>
    <t>CZ1000088+91</t>
  </si>
  <si>
    <t xml:space="preserve">PCF 14 small hydro portfolio CZ </t>
  </si>
  <si>
    <t>PCF portfolio CZ - Celakovice</t>
  </si>
  <si>
    <t>CZ1000083-87 &amp; 89 &amp; 90 &amp; 92-98</t>
  </si>
  <si>
    <t>PCF District heating portfolio CZ - Děčín &amp; Rozmital</t>
  </si>
  <si>
    <t>Děčín &amp;  Příbram</t>
  </si>
  <si>
    <t>Praha-východ</t>
  </si>
  <si>
    <t>Bihor</t>
  </si>
  <si>
    <t>Crimea</t>
  </si>
  <si>
    <t>*</t>
  </si>
  <si>
    <t>Kashkhatau hydro power plant. Development of a startup complex and additional construction</t>
  </si>
  <si>
    <t>Liepynes Wind Power Park Joint Implementation Project</t>
  </si>
  <si>
    <t>Kretingos district</t>
  </si>
  <si>
    <t>Netherlands (Ecocom BG)</t>
  </si>
  <si>
    <t>Vejo Gusis</t>
  </si>
  <si>
    <t>Mytischi District Heating Rehabilitation</t>
  </si>
  <si>
    <t>AMS-I.C.+AMS-II.A.+AMS_II.C.</t>
  </si>
  <si>
    <t>AM18+AM24</t>
  </si>
  <si>
    <t>District heating</t>
  </si>
  <si>
    <t>Moscow oblast</t>
  </si>
  <si>
    <t>COWI</t>
  </si>
  <si>
    <t>Methane Emissions Avoidance in the Ryazan Gas Distribution Network</t>
  </si>
  <si>
    <t>United K. (Apaucuck Point Environmental Limited)</t>
  </si>
  <si>
    <t>United K. (Backstreet Environmental Limited)</t>
  </si>
  <si>
    <t>Methane Emissions Avoidance in the Kaluga Gas Distribution Network</t>
  </si>
  <si>
    <t>Technical re-equipment of Elets CHP plant with installation of Combined-Cycle Unit of 52 MW</t>
  </si>
  <si>
    <t>JI0250</t>
  </si>
  <si>
    <t>JI0251</t>
  </si>
  <si>
    <t>JI0252</t>
  </si>
  <si>
    <t>JI0253</t>
  </si>
  <si>
    <t>JI0254</t>
  </si>
  <si>
    <t>JI0256</t>
  </si>
  <si>
    <t>Rehabilitation of the heat supply system of the JSC ‘Donenergo’ in the Rostov region</t>
  </si>
  <si>
    <t>Rostow</t>
  </si>
  <si>
    <t>Additionality tool</t>
  </si>
  <si>
    <t>National Carbon Sequestration Foundation (Moscow);</t>
  </si>
  <si>
    <t>Boiler houses and network improvements</t>
  </si>
  <si>
    <t>Heat</t>
  </si>
  <si>
    <t>Mures</t>
  </si>
  <si>
    <t>Joint Implementation project aimed at N2O emissions reduction by installation of secondary catalyst inside ammonia oxidation reactors at 3 nitric acid production plants NA2, NA3 and NA4 of Azomures SA company, situated at Tirgu Mures</t>
  </si>
  <si>
    <t>Reconstruction of Central Heat Supply Stations, Strezhevoy, Tomsk Oblast, Western Siberia</t>
  </si>
  <si>
    <t>Tomsk Oblast</t>
  </si>
  <si>
    <t>AMS-II.A.</t>
  </si>
  <si>
    <t>Construction of a Wind Power Park in the lands of villages Balgarevo, St. Nikola, Hadji Dimitar, Rakovski and Poruchik Chunchevo, Municipality Kavarna</t>
  </si>
  <si>
    <t>Global Carbon + NEK EAD</t>
  </si>
  <si>
    <t xml:space="preserve"> 52 Vestas 3MW V90</t>
  </si>
  <si>
    <t>Municipality of Kavarna</t>
  </si>
  <si>
    <t>Boiler houses and network improvements + CHP + Landfill gas</t>
  </si>
  <si>
    <t>Chrimea</t>
  </si>
  <si>
    <t xml:space="preserve"> 14-15</t>
  </si>
  <si>
    <t>Recovery of Waste Carbon Dioxide at JSC KuibyshevАzot</t>
  </si>
  <si>
    <t>ACHEMA UKL-7 plant N2O abatement project</t>
  </si>
  <si>
    <t>Elements from AM9</t>
  </si>
  <si>
    <t>Vertis Environmental Finance</t>
  </si>
  <si>
    <t>Adipic acid</t>
  </si>
  <si>
    <t>Nitric acid</t>
  </si>
  <si>
    <t>Table 10:</t>
  </si>
  <si>
    <t>Sirim</t>
  </si>
  <si>
    <t>Russia</t>
  </si>
  <si>
    <t>Switch of Khabarovsk CHP-1 Plant from Coal to Fire Natural Gas</t>
  </si>
  <si>
    <t>JI0323</t>
  </si>
  <si>
    <t>CZ1000033</t>
  </si>
  <si>
    <t>Nitrous Oxide Emission Reductions at Lovochemie</t>
  </si>
  <si>
    <t>Grue &amp; Hornstrup + Korsbaek &amp; Partners</t>
  </si>
  <si>
    <t>Early mover JI0083. Verified until end 2007</t>
  </si>
  <si>
    <t>NM111</t>
  </si>
  <si>
    <t>Usti nad Labem</t>
  </si>
  <si>
    <t>Number of JI projects</t>
  </si>
  <si>
    <t>JI0381</t>
  </si>
  <si>
    <t>RO1000081</t>
  </si>
  <si>
    <t xml:space="preserve">Geothermal Energy in Oradea-area II and Beius </t>
  </si>
  <si>
    <t>Early mover JI0017. For district heating</t>
  </si>
  <si>
    <t>Exhange rates (1 US$=)</t>
  </si>
  <si>
    <t>Argentina</t>
  </si>
  <si>
    <t>Pesos</t>
  </si>
  <si>
    <t>Yuan</t>
  </si>
  <si>
    <t>Costa Rica</t>
  </si>
  <si>
    <t>Colones</t>
  </si>
  <si>
    <t>Cyprus</t>
  </si>
  <si>
    <t>Pounds</t>
  </si>
  <si>
    <t>Dominican Republic</t>
  </si>
  <si>
    <t>Ecuador</t>
  </si>
  <si>
    <t>US$?</t>
  </si>
  <si>
    <t>Egypt</t>
  </si>
  <si>
    <t>Europe</t>
  </si>
  <si>
    <t>Euro</t>
  </si>
  <si>
    <t>India</t>
  </si>
  <si>
    <t>Indonesia</t>
  </si>
  <si>
    <t>IDR Rupiahs</t>
  </si>
  <si>
    <t>Israel</t>
  </si>
  <si>
    <t>New Shekels</t>
  </si>
  <si>
    <t>Jamaica</t>
  </si>
  <si>
    <t>Dollars</t>
  </si>
  <si>
    <t>Ringgit</t>
  </si>
  <si>
    <t>Mexico</t>
  </si>
  <si>
    <t>Morocco</t>
  </si>
  <si>
    <t>Dirhams</t>
  </si>
  <si>
    <t>Pakistan</t>
  </si>
  <si>
    <t>PKR Rupee</t>
  </si>
  <si>
    <t>Philippines</t>
  </si>
  <si>
    <t>Rand</t>
  </si>
  <si>
    <t>South Korea</t>
  </si>
  <si>
    <t>Won</t>
  </si>
  <si>
    <t>Thailand</t>
  </si>
  <si>
    <t>Baht</t>
  </si>
  <si>
    <t>Vietnam</t>
  </si>
  <si>
    <t>Vietnam Dong (VND)</t>
  </si>
  <si>
    <t>Grue &amp; Hornstrup</t>
  </si>
  <si>
    <t>Track 1</t>
  </si>
  <si>
    <t>Track 2</t>
  </si>
  <si>
    <t>In addition Programmatic PoAs</t>
  </si>
  <si>
    <r>
      <t xml:space="preserve">Accreditation (normal font: only validation, </t>
    </r>
    <r>
      <rPr>
        <b/>
        <sz val="10"/>
        <rFont val="Arial"/>
        <family val="2"/>
      </rPr>
      <t>Bold: both validation and verification, Underlined: only verification</t>
    </r>
    <r>
      <rPr>
        <sz val="10"/>
        <rFont val="Arial"/>
        <family val="2"/>
      </rPr>
      <t>)</t>
    </r>
  </si>
  <si>
    <t>Fugitive. Coal bed/mine methane. Leaks from gas pipelines.</t>
  </si>
  <si>
    <t>JI0215</t>
  </si>
  <si>
    <t>JI0216</t>
  </si>
  <si>
    <t>JI0217</t>
  </si>
  <si>
    <t>JI0218</t>
  </si>
  <si>
    <t>JI0219</t>
  </si>
  <si>
    <t>Small Hydropower Station SHPS Yahinovo</t>
  </si>
  <si>
    <t>Netherlands (Aare-Tessin)</t>
  </si>
  <si>
    <t>Econia</t>
  </si>
  <si>
    <t>JI0220</t>
  </si>
  <si>
    <t>JI0221</t>
  </si>
  <si>
    <t>Methane emissions avoidance through poultry manure utilization at Nevskaya poultry farm, Leningrad oblast</t>
  </si>
  <si>
    <t>ACM10</t>
  </si>
  <si>
    <t>Combustion</t>
  </si>
  <si>
    <t>Construction of three mini-CHP Plants in Moscow region</t>
  </si>
  <si>
    <t>AM29</t>
  </si>
  <si>
    <t>Natec, Energyfund, Profing</t>
  </si>
  <si>
    <t xml:space="preserve">    Date    Agreed</t>
  </si>
  <si>
    <t>Netherlands (Global Carbon)</t>
  </si>
  <si>
    <t>CMM utilisation on the Joint Stock Company “Coal Company Krasnoarmeyskaya Zapadnaya № 1 Mine”</t>
  </si>
  <si>
    <t>JI0296</t>
  </si>
  <si>
    <t>JI0297</t>
  </si>
  <si>
    <t>JI0298</t>
  </si>
  <si>
    <t>North Ossetia</t>
  </si>
  <si>
    <t>&gt;4 W/m2</t>
  </si>
  <si>
    <t>Sunflower seed husk</t>
  </si>
  <si>
    <t>Kharkiv oblast</t>
  </si>
  <si>
    <t>Like ACM6</t>
  </si>
  <si>
    <t>JI0357</t>
  </si>
  <si>
    <t>PL1000060</t>
  </si>
  <si>
    <t>JI0358</t>
  </si>
  <si>
    <t>PL1000061</t>
  </si>
  <si>
    <t>JI0359</t>
  </si>
  <si>
    <t>PL1000062</t>
  </si>
  <si>
    <t>JI0360</t>
  </si>
  <si>
    <t>PL1000063</t>
  </si>
  <si>
    <t>JI0361</t>
  </si>
  <si>
    <t>PL1000064</t>
  </si>
  <si>
    <t>JI0362</t>
  </si>
  <si>
    <t>PL1000065</t>
  </si>
  <si>
    <t xml:space="preserve">Mazurskie Landfill Gas Package </t>
  </si>
  <si>
    <t>AAEN Consulting Engineers A/S</t>
  </si>
  <si>
    <t>Early mover  JI0037a.  7 landfills in the Mazurskie region.</t>
  </si>
  <si>
    <t>Warmian-Masurian</t>
  </si>
  <si>
    <t xml:space="preserve">Small Hydro-Power Plant on Bobr River, location Leszno Gorne, municipality Szprotawa </t>
  </si>
  <si>
    <t>Lubusz</t>
  </si>
  <si>
    <t>Masovian</t>
  </si>
  <si>
    <t>Part of early mover JI0046</t>
  </si>
  <si>
    <t>Lake Ostrowo Wind Farm</t>
  </si>
  <si>
    <t>EPA sp. zo.o.</t>
  </si>
  <si>
    <t>Denmark (ELSAM)</t>
  </si>
  <si>
    <t>Early mover JI0084. 17*1.8 Vestas MW.</t>
  </si>
  <si>
    <t xml:space="preserve">Utilization of methane gas from Landfill and Sludge, Zakopane </t>
  </si>
  <si>
    <t>Early mover JI0037</t>
  </si>
  <si>
    <t xml:space="preserve">Zagorze Wind Farm </t>
  </si>
  <si>
    <t>LLC Peresechansk sunflower oil extraction mill</t>
  </si>
  <si>
    <t>Emissions-Trader ET</t>
  </si>
  <si>
    <t>Replacement of two fossil fuelled boilers and one furnace with a multi-fuel biomass boiler at Svetogorsk Pulp and Paper Mill</t>
  </si>
  <si>
    <t>Combustion of MSW</t>
  </si>
  <si>
    <t>ACM6</t>
  </si>
  <si>
    <t>ICF</t>
  </si>
  <si>
    <t>KBS</t>
  </si>
  <si>
    <t>KBS Certification Services</t>
  </si>
  <si>
    <t>Carbon Check</t>
  </si>
  <si>
    <t>HKQAA</t>
  </si>
  <si>
    <t>Hong Kong Quality Assurance Agency</t>
  </si>
  <si>
    <t>Integrated fuel switch and energy efficiency improvement project in the town of Priozersk</t>
  </si>
  <si>
    <t>Denmark (NEFCO)</t>
  </si>
  <si>
    <t>AM36</t>
  </si>
  <si>
    <t xml:space="preserve"> 1-3</t>
  </si>
  <si>
    <t>4-15</t>
  </si>
  <si>
    <t xml:space="preserve"> 1-3,7,9,12-13,15</t>
  </si>
  <si>
    <t xml:space="preserve"> 4-6,10-11,14</t>
  </si>
  <si>
    <t xml:space="preserve">Ind. letters </t>
  </si>
  <si>
    <t>Ind. letters</t>
  </si>
  <si>
    <t>AMS-I.C.+AMS-III.E.</t>
  </si>
  <si>
    <t xml:space="preserve">Registration Requested  (-withdrawn &amp; rejected) </t>
  </si>
  <si>
    <t xml:space="preserve">Not Yet Submitted/withdrawn/rejected     </t>
  </si>
  <si>
    <t>Percentage of projects with delay &lt; 0:</t>
  </si>
  <si>
    <t>Average delay for those with delay &gt; 0:</t>
  </si>
  <si>
    <t>United K.</t>
  </si>
  <si>
    <t>JI0369</t>
  </si>
  <si>
    <t>Dhipropetrosk</t>
  </si>
  <si>
    <t>Graph 1:</t>
  </si>
  <si>
    <t>TÜV-Nord</t>
  </si>
  <si>
    <t>TÜV-Nord Cert GmbH (RWTÜV)</t>
  </si>
  <si>
    <t>Determination report</t>
  </si>
  <si>
    <t>Hydro and wind. Tech. Supplier: Vaptsarov Bulgaria Hydrolink, Czech Rep. VA TECH HYDRO Austria</t>
  </si>
  <si>
    <t>CoGen Engineering LTD</t>
  </si>
  <si>
    <t>National Methane Center, Russia.</t>
  </si>
  <si>
    <t>UK</t>
  </si>
  <si>
    <t>Existing dam</t>
  </si>
  <si>
    <t>Pool of Small Hydro Power Stations and Wind Enegry Parks Project</t>
  </si>
  <si>
    <t>Methane Emissions Avoidance in Bryansk Gas Distribution Network</t>
  </si>
  <si>
    <t>JI0136</t>
  </si>
  <si>
    <t>JI0137</t>
  </si>
  <si>
    <t>JI0138</t>
  </si>
  <si>
    <t>Malaysia</t>
  </si>
  <si>
    <t>HFC &amp; N2O reduction</t>
  </si>
  <si>
    <t>Fuel switch</t>
  </si>
  <si>
    <t>JI0101</t>
  </si>
  <si>
    <t>JI0102</t>
  </si>
  <si>
    <t>JI0103</t>
  </si>
  <si>
    <t>JI0105</t>
  </si>
  <si>
    <t>JI0106</t>
  </si>
  <si>
    <t>Reg. Request</t>
  </si>
  <si>
    <t>Host country</t>
  </si>
  <si>
    <t>Denmark</t>
  </si>
  <si>
    <t>LitPronergija</t>
  </si>
  <si>
    <t>Transport. Biofuel.</t>
  </si>
  <si>
    <t>Mining/Mineral production</t>
  </si>
  <si>
    <t>Coal bed/mine methane.</t>
  </si>
  <si>
    <t>Metal production</t>
  </si>
  <si>
    <t>Fugitive emissions from fuels (solid, oil and gas)</t>
  </si>
  <si>
    <t>Fugitive emissions from production and consumption of halocarbons and sulphur hexafluoride</t>
  </si>
  <si>
    <t>HFCs, SF6</t>
  </si>
  <si>
    <t>Solvents use</t>
  </si>
  <si>
    <t>Waste handling and disposal</t>
  </si>
  <si>
    <t>Landfill, Biogas, Agriculture</t>
  </si>
  <si>
    <t>Afforestation and reforestation</t>
  </si>
  <si>
    <t>Afforestation. Reforestation.</t>
  </si>
  <si>
    <t>The difference between my two type  biogass and agriculture is that for Agriculture the CH¤ is only flared, where biogas is used for energy purpose and therefore</t>
  </si>
  <si>
    <t>Run-of-river</t>
  </si>
  <si>
    <t>JI0347</t>
  </si>
  <si>
    <t>EE1000052</t>
  </si>
  <si>
    <t>Esivere and Virtsu II Windpower Project</t>
  </si>
  <si>
    <t>Early mover JI0043</t>
  </si>
  <si>
    <t>Forest residues: sawmill waste</t>
  </si>
  <si>
    <t>Industrial Waste</t>
  </si>
  <si>
    <t>ACM6+own format</t>
  </si>
  <si>
    <t>KWI Management Consultants GmbH</t>
  </si>
  <si>
    <t>Netherlands (EBRD)</t>
  </si>
  <si>
    <t>ENinvest SA Bucharest.</t>
  </si>
  <si>
    <t>HFCs, PFCs &amp; N2O reduction</t>
  </si>
  <si>
    <t>Run of river</t>
  </si>
  <si>
    <t>United K. (CAMCO)</t>
  </si>
  <si>
    <t>United K. (Core Carbon Group)</t>
  </si>
  <si>
    <t>JI0306</t>
  </si>
  <si>
    <t>JI0307</t>
  </si>
  <si>
    <t>FR1000029</t>
  </si>
  <si>
    <t>NZ1000030</t>
  </si>
  <si>
    <t>Thermal oxidation of the gas effluents of the Trifluoroacetic Acid generating station at the Salindres factory (Gard)</t>
  </si>
  <si>
    <t>Burwood Landfill Gas Utilisation Project</t>
  </si>
  <si>
    <t>United K. (British Gas Trading)</t>
  </si>
  <si>
    <t xml:space="preserve">Early mover JI0104. To heat and power the sports facility (Queen Elizabeth II Park Project) in Christchurch by landfill gas fra the recently closed Burwood Landfill </t>
  </si>
  <si>
    <t>ACM1+AMS.III.B</t>
  </si>
  <si>
    <t>Japan</t>
  </si>
  <si>
    <t>Afforestation + reforestation</t>
  </si>
  <si>
    <t>Korea Energy Management Corporation</t>
  </si>
  <si>
    <t>CHUO</t>
  </si>
  <si>
    <t>Verified projects</t>
  </si>
  <si>
    <t>AM9</t>
  </si>
  <si>
    <t>Clouston</t>
  </si>
  <si>
    <t>BSI</t>
  </si>
  <si>
    <t>CRA</t>
  </si>
  <si>
    <t>TECPAR</t>
  </si>
  <si>
    <t>NKKKQA</t>
  </si>
  <si>
    <t>JI0160</t>
  </si>
  <si>
    <t>Sweden (Swedish Energy Agency), NEFCO</t>
  </si>
  <si>
    <t>Wood waste-to-energy project at Sawmill-25 (Arkhangelsk)</t>
  </si>
  <si>
    <t>Camco International</t>
  </si>
  <si>
    <t>JI0161</t>
  </si>
  <si>
    <t>JI0162</t>
  </si>
  <si>
    <t>Rehabilitation of Dolna Arda Hydropower Cascade, Bulgaria</t>
  </si>
  <si>
    <t>FLARE GAS REDUCTION PROJECT IN KONDISKY DISTRICT - District of the Khanty-Mansyisk Autonomous Okrug – Yugra, Russian Federation</t>
  </si>
  <si>
    <t>Landfill gas recovery in Moscow – landfill site DMITROVSKIJ</t>
  </si>
  <si>
    <t>Belgium</t>
  </si>
  <si>
    <t>France</t>
  </si>
  <si>
    <t>Greece</t>
  </si>
  <si>
    <t>Iceland</t>
  </si>
  <si>
    <t>Ernst &amp; Young</t>
  </si>
  <si>
    <t>Ernst &amp; Young Associés</t>
  </si>
  <si>
    <t>Projects</t>
  </si>
  <si>
    <t>Murmansk District Heating Rehabilitation Project, Russia</t>
  </si>
  <si>
    <t>Biodiesel</t>
  </si>
  <si>
    <t>South Africa</t>
  </si>
  <si>
    <t>KSA</t>
  </si>
  <si>
    <t>China Environmental United Certification Center Co., Ltd</t>
  </si>
  <si>
    <t>CEC</t>
  </si>
  <si>
    <t>JI0293</t>
  </si>
  <si>
    <t>JI0294</t>
  </si>
  <si>
    <t>Rehabilitation of Dolna Arda Hydropower Cascade</t>
  </si>
  <si>
    <t>JI0303</t>
  </si>
  <si>
    <t>Sofia</t>
  </si>
  <si>
    <t>Khantia-Mansia</t>
  </si>
  <si>
    <t>Lääne</t>
  </si>
  <si>
    <t>ENERCON E-82 2000 kW</t>
  </si>
  <si>
    <t>Stockholm Environment Institute Tallinn</t>
  </si>
  <si>
    <t xml:space="preserve"> </t>
  </si>
  <si>
    <t>JI0403</t>
  </si>
  <si>
    <t>JI0404</t>
  </si>
  <si>
    <t>JI0405</t>
  </si>
  <si>
    <t>JI0406</t>
  </si>
  <si>
    <t>JI0407</t>
  </si>
  <si>
    <t>JI0408</t>
  </si>
  <si>
    <t>JI0409</t>
  </si>
  <si>
    <t>JI0410</t>
  </si>
  <si>
    <t>JI0411</t>
  </si>
  <si>
    <t>JI0412</t>
  </si>
  <si>
    <t>JI0413</t>
  </si>
  <si>
    <t>JI0414</t>
  </si>
  <si>
    <t>JI0415</t>
  </si>
  <si>
    <t>JI0416</t>
  </si>
  <si>
    <t>JI0417</t>
  </si>
  <si>
    <t>JI0418</t>
  </si>
  <si>
    <t>JI0419</t>
  </si>
  <si>
    <t>JI0420</t>
  </si>
  <si>
    <t>JI0421</t>
  </si>
  <si>
    <t>JI0422</t>
  </si>
  <si>
    <t>JI0423</t>
  </si>
  <si>
    <t>JI0424</t>
  </si>
  <si>
    <t>JI0425</t>
  </si>
  <si>
    <t>Utilization of coke gas with electricity generation by two 6 MWe CHP at “ZaporozhCox Plant”</t>
  </si>
  <si>
    <t>DE1000102</t>
  </si>
  <si>
    <t xml:space="preserve">PFC emission reductions from anode effect mitigation at TRIMET ALUMINIUM AG primary aluminium smelting facilities in Hamburg </t>
  </si>
  <si>
    <t xml:space="preserve">MAEN Portfolio CZ - Vysoká </t>
  </si>
  <si>
    <t xml:space="preserve">MAEN Portfolio CZ - Lišov </t>
  </si>
  <si>
    <t>MAEN Portfolio CZ - Rožany</t>
  </si>
  <si>
    <t>Reduction of Natural Gas Emissions at OJSC "Odesagas" Gate Stations and Gas Distribution Networks</t>
  </si>
  <si>
    <t>TEDOM Portfolio CZ - Bratcice</t>
  </si>
  <si>
    <t>JI0426</t>
  </si>
  <si>
    <t>JI0427</t>
  </si>
  <si>
    <t>JI0428</t>
  </si>
  <si>
    <t>JI0429</t>
  </si>
  <si>
    <t>JI0430</t>
  </si>
  <si>
    <t>JI0431</t>
  </si>
  <si>
    <t>JI0432</t>
  </si>
  <si>
    <t>JI0433</t>
  </si>
  <si>
    <t>JI0434</t>
  </si>
  <si>
    <t>TEDOM Portfolio CZ - Zivotice</t>
  </si>
  <si>
    <t>Imtech energy efficiency programme</t>
  </si>
  <si>
    <t>Kardjali &amp; Haskovo</t>
  </si>
  <si>
    <t>Taurages</t>
  </si>
  <si>
    <t>UAB Energogrup</t>
  </si>
  <si>
    <t>Ethanol</t>
  </si>
  <si>
    <t>Request</t>
  </si>
  <si>
    <t>Scopes</t>
  </si>
  <si>
    <t>Energy distribution</t>
  </si>
  <si>
    <t>Slo-pe</t>
  </si>
  <si>
    <t>Near Sofia</t>
  </si>
  <si>
    <t>JI0248</t>
  </si>
  <si>
    <t>JI0249</t>
  </si>
  <si>
    <t>Teleorman</t>
  </si>
  <si>
    <t>MGM International</t>
  </si>
  <si>
    <t>Fuel saving by implementation of gas-piston engine-generators produced by JSC “Pervomaiskdieselmash” for combined heat and power generation</t>
  </si>
  <si>
    <t xml:space="preserve"> 12 Cogeneration units in industries</t>
  </si>
  <si>
    <t>Netherlands (E-Energy B.V.)</t>
  </si>
  <si>
    <t>Kiev &amp; Mykolajiv &amp; Kirovohrad</t>
  </si>
  <si>
    <t>AM14</t>
  </si>
  <si>
    <t>Institute of Engineering Ecology, Kiev</t>
  </si>
  <si>
    <t>JI0289</t>
  </si>
  <si>
    <t>Zaklady Azotowe Kedzierzyn Nitrous Oxide Abatement Project</t>
  </si>
  <si>
    <t xml:space="preserve"> HFCs + PFCs + SF6 + N2O</t>
  </si>
  <si>
    <t>Transport</t>
  </si>
  <si>
    <t>KEMCO</t>
  </si>
  <si>
    <t>Biofuel</t>
  </si>
  <si>
    <t>SGS</t>
  </si>
  <si>
    <t>Number</t>
  </si>
  <si>
    <t>Landfill gas</t>
  </si>
  <si>
    <t xml:space="preserve">Landfill gas </t>
  </si>
  <si>
    <t>Month</t>
  </si>
  <si>
    <t>No./month</t>
  </si>
  <si>
    <t xml:space="preserve">Rudaiciai Wind Power-Plant Project </t>
  </si>
  <si>
    <t>Turbines manufactured by Enercon. Park of 15x2 MW wind power-plants near villages of Kiauleikiai, Kveciai and Rudaiciai in Kretinga district.</t>
  </si>
  <si>
    <t>IĮ Ekostrategija</t>
  </si>
  <si>
    <t>JI0069</t>
  </si>
  <si>
    <t>Indicative letter</t>
  </si>
  <si>
    <t>1000 ERUs</t>
  </si>
  <si>
    <t>JI0279</t>
  </si>
  <si>
    <t>JI0280</t>
  </si>
  <si>
    <t>JI0281</t>
  </si>
  <si>
    <t>JI0282</t>
  </si>
  <si>
    <t>JI0283</t>
  </si>
  <si>
    <t xml:space="preserve">Modernization of TPP-24 by the building on of the existing unit of 310 MW by gas turbine unit of 110 MW
</t>
  </si>
  <si>
    <t>Reconstruction of Kirishskaya TPP with installation of 750 MW Combined-Cycle Unit</t>
  </si>
  <si>
    <t>ICFRE</t>
  </si>
  <si>
    <t>Indian Council of Forestry Research and Education</t>
  </si>
  <si>
    <t xml:space="preserve">Perry Johnson Registrars Clean Development Mechanism, Inc </t>
  </si>
  <si>
    <t>Société Générale de Surveillance</t>
  </si>
  <si>
    <t xml:space="preserve">TÜV Industrie Service GmbH - TÜV Rheinland </t>
  </si>
  <si>
    <t xml:space="preserve">(early movers (JI001-JI132) </t>
  </si>
  <si>
    <r>
      <t xml:space="preserve">JSC “Khabarovskenergo” + </t>
    </r>
    <r>
      <rPr>
        <sz val="11"/>
        <rFont val="ArialMT"/>
      </rPr>
      <t xml:space="preserve"> </t>
    </r>
    <r>
      <rPr>
        <sz val="11"/>
        <rFont val="TimesNewRomanPSMT"/>
      </rPr>
      <t>Energy Carbon Fund</t>
    </r>
  </si>
  <si>
    <t>Luxembourg</t>
  </si>
  <si>
    <t>Norway</t>
  </si>
  <si>
    <t>Portugal</t>
  </si>
  <si>
    <t>Methane Emissions Avoidance in Orel gas distribution network</t>
  </si>
  <si>
    <t>Waste Coke Oven Gas Utilization at OOO PO Khimprom, Kemerovo, Russia</t>
  </si>
  <si>
    <t>Szolnok 28 MWe (net 25 MWe) straw fired biomass renewable energy production greenfield investment</t>
  </si>
  <si>
    <t>My-Tech</t>
  </si>
  <si>
    <t>MOTION Emissions Szolgáltató és Kereskedelmi Kft.</t>
  </si>
  <si>
    <t>Fuel switch of boiler-houses in the South-Western part of the Leningrad oblast, the Russian Federation</t>
  </si>
  <si>
    <t>DK buyer and Force technology as developer</t>
  </si>
  <si>
    <t>FORCE Technology Rusland.</t>
  </si>
  <si>
    <t>Kamieńsk Hill Wind Farm, 30 MW</t>
  </si>
  <si>
    <t>ENERCON 2MW turbines</t>
  </si>
  <si>
    <t>Emission Market Specialist</t>
  </si>
  <si>
    <t>EE industry. EE supply. Cement. Fossil fuel switch. Biomass energy.</t>
  </si>
  <si>
    <t>Chemical industry</t>
  </si>
  <si>
    <t>N2O. Biomass (AM27).</t>
  </si>
  <si>
    <t>Construction</t>
  </si>
  <si>
    <t>JI0133</t>
  </si>
  <si>
    <t>Both</t>
  </si>
  <si>
    <t>China</t>
  </si>
  <si>
    <t>Start comment (for track 1 appearance on UNFCCC web)</t>
  </si>
  <si>
    <t>Tararua Wind Farm Stage II</t>
  </si>
  <si>
    <t xml:space="preserve">Vestas V47-660 turbines </t>
  </si>
  <si>
    <t>France (Electrabel)</t>
  </si>
  <si>
    <t>TrustPower</t>
  </si>
  <si>
    <t>JI0263</t>
  </si>
  <si>
    <t>JI0382</t>
  </si>
  <si>
    <t>Moscow</t>
  </si>
  <si>
    <t>Landfill Gas Recovery Project at the Samosyrovo Landfill in the City of Kazan</t>
  </si>
  <si>
    <t>CH4 avoided ktCO2e/yr</t>
  </si>
  <si>
    <t>Tartarstan</t>
  </si>
  <si>
    <t>C6 Capital + Pamfilov Academy of Communal Services</t>
  </si>
  <si>
    <t>United K. (C6 Capital)</t>
  </si>
  <si>
    <t>Iron &amp; Steel</t>
  </si>
  <si>
    <t>Colombia</t>
  </si>
  <si>
    <t>Fugitive</t>
  </si>
  <si>
    <t>Others</t>
  </si>
  <si>
    <t>AENOR</t>
  </si>
  <si>
    <t>Correction 1</t>
  </si>
  <si>
    <t>Accumulated Total</t>
  </si>
  <si>
    <t>JI0309</t>
  </si>
  <si>
    <t>JI0310</t>
  </si>
  <si>
    <t>JI0311</t>
  </si>
  <si>
    <t>JI0313</t>
  </si>
  <si>
    <t>JI0314</t>
  </si>
  <si>
    <t>Methane Capture and Destruction at the Solid Waste Landfill in the City of Lviv</t>
  </si>
  <si>
    <t>Lviv</t>
  </si>
  <si>
    <t>Carbon Capital Markets</t>
  </si>
  <si>
    <t>Mockiai Wind Power Joint Implementation Project</t>
  </si>
  <si>
    <t>Lugansk</t>
  </si>
  <si>
    <t xml:space="preserve">Landfill flaring </t>
  </si>
  <si>
    <t>Mitsubishi UFJ Securities</t>
  </si>
  <si>
    <t>Lääne Viru</t>
  </si>
  <si>
    <t>There is an overcapacity of installed power in Lithuania. Because of that, it is impossible to calculate properly the Build Margin emissions factor in ACM2, Enercon E-82</t>
  </si>
  <si>
    <t>Bark and Wood Waste Utilization at Solombala Pulp and Paper Mill (SPPM)</t>
  </si>
  <si>
    <t xml:space="preserve">UA1000031 </t>
  </si>
  <si>
    <t>Netherlands (ING Bank)</t>
  </si>
  <si>
    <t>JI0315</t>
  </si>
  <si>
    <t>DE1000032</t>
  </si>
  <si>
    <t>2012 MCERs</t>
  </si>
  <si>
    <t>ACM9+own format</t>
  </si>
  <si>
    <t>JI0180</t>
  </si>
  <si>
    <t>Japan (Sumitomo Corporation)</t>
  </si>
  <si>
    <t>EE own generation</t>
  </si>
  <si>
    <t>Iron &amp; steel</t>
  </si>
  <si>
    <t>ACM4</t>
  </si>
  <si>
    <t>Sumitomo Corporation</t>
  </si>
  <si>
    <t>Mitsubishi Heavy Industry</t>
  </si>
  <si>
    <t>CO2 Emission Reduction through Fuel Switch in the Town of Belokurikha</t>
  </si>
  <si>
    <t>National Methane Center</t>
  </si>
  <si>
    <t>TÜV Industrie Service GmbH - TÜV Süd Gruppe</t>
  </si>
  <si>
    <t>JI0130</t>
  </si>
  <si>
    <t>Reforestation</t>
  </si>
  <si>
    <t>Afforestation</t>
  </si>
  <si>
    <t>Romania</t>
  </si>
  <si>
    <t>Fossil fuel switch</t>
  </si>
  <si>
    <t>EuroETHYL Bioethanol Plant Project</t>
  </si>
  <si>
    <t>JI0214</t>
  </si>
  <si>
    <t>20000 l ETOH/year from majs</t>
  </si>
  <si>
    <t>Energy Changes Projektentwicklung GmbH</t>
  </si>
  <si>
    <t>Withdrawn</t>
  </si>
  <si>
    <t>Buyers</t>
  </si>
  <si>
    <t>Colombian Institute for Technical Standards and Certification</t>
  </si>
  <si>
    <t>kERUs/yr</t>
  </si>
  <si>
    <t>Annual total</t>
  </si>
  <si>
    <t>Finland</t>
  </si>
  <si>
    <t>Quarter</t>
  </si>
  <si>
    <t xml:space="preserve"> % requesting registration</t>
  </si>
  <si>
    <t>Q4-06</t>
  </si>
  <si>
    <t>Scientific Engineering Centre “Biomass”</t>
  </si>
  <si>
    <t>Chart 4:</t>
  </si>
  <si>
    <t>Swiss Association for Quality and Management Systems</t>
  </si>
  <si>
    <t>Deloitte Cert</t>
  </si>
  <si>
    <t>Deloitte Cert Umweltgutachter</t>
  </si>
  <si>
    <t>JI0328</t>
  </si>
  <si>
    <t>JI0325</t>
  </si>
  <si>
    <t>JI0327</t>
  </si>
  <si>
    <t>UA1000048</t>
  </si>
  <si>
    <t>JI0342</t>
  </si>
  <si>
    <t>JI0343</t>
  </si>
  <si>
    <t>Introduction of a 12.5MWe CHP with a coke plant's flue gases utilization at the branch of ISTEK LLC "Horlivka Coke Plant"</t>
  </si>
  <si>
    <t>Coke oven gas</t>
  </si>
  <si>
    <t>Netherlands (Global Carbon BV)</t>
  </si>
  <si>
    <t>Global Carbon BV</t>
  </si>
  <si>
    <t>Slag usage and switch from wet to dry process at Yugcement, Ukraine</t>
  </si>
  <si>
    <t>Netherlands (Global Carbon BV), Germany (Dyckerhoff)</t>
  </si>
  <si>
    <t>Mykolaiv</t>
  </si>
  <si>
    <t>Reduction of methane emissions in the gas distribution network of Krasnodarskiy Kray</t>
  </si>
  <si>
    <t>Krasnodar</t>
  </si>
  <si>
    <t>LAMIT - M</t>
  </si>
  <si>
    <t>BTG Biomass Technology Group</t>
  </si>
  <si>
    <t>Netherlands (Bioheat International)</t>
  </si>
  <si>
    <t>CZ1000034-47</t>
  </si>
  <si>
    <t>BTG Biomass Energy Portfolio CZ - All 14 subprojects</t>
  </si>
  <si>
    <t>Many</t>
  </si>
  <si>
    <t>Early mover JI0001. Verified until end 2007</t>
  </si>
  <si>
    <t xml:space="preserve">District Heating System Rehabilitation of Chernigiv Region </t>
  </si>
  <si>
    <t>Germany (Deutsche Bank)</t>
  </si>
  <si>
    <t>Chirnihiv</t>
  </si>
  <si>
    <t>AM44</t>
  </si>
  <si>
    <t>JI0344</t>
  </si>
  <si>
    <t>FR1000049</t>
  </si>
  <si>
    <t>Early mover JI0025</t>
  </si>
  <si>
    <t>Réduction additionnelle des émissions de N2O dans les effluents gazeux provenant de l'installation de production d'Acide Adipique de l'usine de Chalampé (Haut-Rhin)</t>
  </si>
  <si>
    <t>CZ1000070</t>
  </si>
  <si>
    <t>CZ1000072</t>
  </si>
  <si>
    <t>CZ1000073</t>
  </si>
  <si>
    <t>CZ1000074</t>
  </si>
  <si>
    <t>CZ1000075</t>
  </si>
  <si>
    <t>CZ1000076</t>
  </si>
  <si>
    <t>CZ1000077</t>
  </si>
  <si>
    <t>CZ1000078</t>
  </si>
  <si>
    <t>CZ1000079</t>
  </si>
  <si>
    <t>PL1000071</t>
  </si>
  <si>
    <t xml:space="preserve">TEDOM ENERGO Portfolio CZ - Mutenice </t>
  </si>
  <si>
    <t>JI0370</t>
  </si>
  <si>
    <t>JI0371</t>
  </si>
  <si>
    <t>JI0372</t>
  </si>
  <si>
    <t>JI0373</t>
  </si>
  <si>
    <t>JI0374</t>
  </si>
  <si>
    <t>JI0375</t>
  </si>
  <si>
    <t>JI0376</t>
  </si>
  <si>
    <t>JI0377</t>
  </si>
  <si>
    <t>JI0378</t>
  </si>
  <si>
    <t>JI0379</t>
  </si>
  <si>
    <t>ORGREZ</t>
  </si>
  <si>
    <t>TEDOM Energo</t>
  </si>
  <si>
    <t>TEDOM ENERGO Portfolio CZ - Temice</t>
  </si>
  <si>
    <t>TEDOM ENERGO Portfolio CZ - Vodnany</t>
  </si>
  <si>
    <t xml:space="preserve">TEDOM ENERGO Portfolio CZ - Chrast </t>
  </si>
  <si>
    <t>TEDOM ENERGO Portfolio CZ - Zelec</t>
  </si>
  <si>
    <t xml:space="preserve">TEDOM Portfolio CZ - Ostrava </t>
  </si>
  <si>
    <t>TEDOM Portfolio CZ - Praha</t>
  </si>
  <si>
    <t>Central Bohemia</t>
  </si>
  <si>
    <t>TEDOM ENERGO Portfolio CZ - Hantaly</t>
  </si>
  <si>
    <t xml:space="preserve">Povodi Vltavy - Vranany SHP </t>
  </si>
  <si>
    <t>South Moravian</t>
  </si>
  <si>
    <t>Central Bohemian</t>
  </si>
  <si>
    <t>South Bohamian</t>
  </si>
  <si>
    <t>Plzen</t>
  </si>
  <si>
    <t>Olomouc</t>
  </si>
  <si>
    <t>Moravian-Silesian</t>
  </si>
  <si>
    <t>MAEN Portfolio CZ - Mrsklesy</t>
  </si>
  <si>
    <t>MAEN Portfolio CZ - Kryblice</t>
  </si>
  <si>
    <t xml:space="preserve">MAEN Portfolio CZ - Tušimice </t>
  </si>
  <si>
    <t>MAEN Portfolio CZ - Kvitkovice</t>
  </si>
  <si>
    <t>MAEN Portfolio CZ - Radim</t>
  </si>
  <si>
    <t>MAEN Portfolio CZ - Němčice</t>
  </si>
  <si>
    <t>MAEN Portfolio CZ - Růžov</t>
  </si>
  <si>
    <t>MAEN Portfolio CZ - Ekola České Libchavy</t>
  </si>
  <si>
    <t>MAEN Portfolio CZ - Dolní Branná</t>
  </si>
  <si>
    <t>TEDOM Portfolio CZ - Chvaletice</t>
  </si>
  <si>
    <t>TEDOM Portfolio CZ - Frydek</t>
  </si>
  <si>
    <t>TEDOM Portfolio CZ - Holasovice</t>
  </si>
  <si>
    <t>TEDOM Portfolio CZ - Krovice</t>
  </si>
  <si>
    <t>TEDOM Portfolio CZ - Litvinov</t>
  </si>
  <si>
    <t>TEDOM Portfolio CZ - Markvartovice</t>
  </si>
  <si>
    <t>TEDOM Portfolio CZ - Modlany</t>
  </si>
  <si>
    <t>TEDOM Portfolio CZ - Petruvky</t>
  </si>
  <si>
    <t>JI0436</t>
  </si>
  <si>
    <t>TEDOM Portfolio CZ - Tisova</t>
  </si>
  <si>
    <t xml:space="preserve">Geothermal methane gas utilization </t>
  </si>
  <si>
    <t xml:space="preserve">HU1000129 </t>
  </si>
  <si>
    <t>TÜV Nord</t>
  </si>
  <si>
    <t>Pardubice</t>
  </si>
  <si>
    <t>South Bohemian</t>
  </si>
  <si>
    <t xml:space="preserve">Vysočina </t>
  </si>
  <si>
    <t xml:space="preserve">Plzeň-South District </t>
  </si>
  <si>
    <t xml:space="preserve">Hradec Králové </t>
  </si>
  <si>
    <t>Ústí nad Labem</t>
  </si>
  <si>
    <t>TEDOM Portfolio CZ - Čižkovice</t>
  </si>
  <si>
    <t>Landfill gas extraction and utilisation in Konin</t>
  </si>
  <si>
    <t>Greater Poland</t>
  </si>
  <si>
    <t>Early mover JI0028</t>
  </si>
  <si>
    <t>Allplan</t>
  </si>
  <si>
    <t>ACM3, AM24 &amp; WBCSM method</t>
  </si>
  <si>
    <t>Landfill power</t>
  </si>
  <si>
    <t>Landfill flaring</t>
  </si>
  <si>
    <t>Switch from wet-to-dry process at Podilsky Cement</t>
  </si>
  <si>
    <t>At determination</t>
  </si>
  <si>
    <t>Determinator</t>
  </si>
  <si>
    <t>Ireland (CRH Finance Ltd.)</t>
  </si>
  <si>
    <t>Stockholm Environment Institute Tallinn Centre.</t>
  </si>
  <si>
    <t>Vanaküla Wind Power Joint Implementation Project, Estonia</t>
  </si>
  <si>
    <t>Finnish manufacturer WinWind.</t>
  </si>
  <si>
    <t>JI0363</t>
  </si>
  <si>
    <t>JI0364</t>
  </si>
  <si>
    <t xml:space="preserve">Grzywacka-Osiek </t>
  </si>
  <si>
    <t>Gamesa Eolica, S.A (Spain).</t>
  </si>
  <si>
    <t>Methane Emissions Avoidance in Belgorod gas distribution network.</t>
  </si>
  <si>
    <t>JI0150</t>
  </si>
  <si>
    <t>JI0152</t>
  </si>
  <si>
    <t>JI0153</t>
  </si>
  <si>
    <t>JI0154</t>
  </si>
  <si>
    <t>JI0155</t>
  </si>
  <si>
    <t>Gamesa Energia Polska sp.</t>
  </si>
  <si>
    <t>Równe wind farm in Poland</t>
  </si>
  <si>
    <t>Alfa-Carbon.</t>
  </si>
  <si>
    <t>DNV</t>
  </si>
  <si>
    <t>TÜV-SÜD</t>
  </si>
  <si>
    <t>JQA</t>
  </si>
  <si>
    <t>EE Supply side</t>
  </si>
  <si>
    <t>EE supply side</t>
  </si>
  <si>
    <t>EE Industry</t>
  </si>
  <si>
    <t>Request for review</t>
  </si>
  <si>
    <t>Designated</t>
  </si>
  <si>
    <t>“Landfill methane capture and flaring at Yalta and Alushta landfills, Ukraine”</t>
  </si>
  <si>
    <t>ACM1+ AMS-I.D.</t>
  </si>
  <si>
    <t>JI0178</t>
  </si>
  <si>
    <t>JI0179</t>
  </si>
  <si>
    <t>Energy Changes</t>
  </si>
  <si>
    <t>JI0437</t>
  </si>
  <si>
    <t>JI0438</t>
  </si>
  <si>
    <t>JI0439</t>
  </si>
  <si>
    <t>JI0440</t>
  </si>
  <si>
    <t>JI0441</t>
  </si>
  <si>
    <t>JI0442</t>
  </si>
  <si>
    <t>JI0443</t>
  </si>
  <si>
    <t>JI0444</t>
  </si>
  <si>
    <t>JI0445</t>
  </si>
  <si>
    <t xml:space="preserve">UA1000130 </t>
  </si>
  <si>
    <t>Flex Heat Fuel Switch</t>
  </si>
  <si>
    <t>UA1000131</t>
  </si>
  <si>
    <t xml:space="preserve">District Heating System Rehabilitation in Rivne Region </t>
  </si>
  <si>
    <t>New energy efficient cement plant construction at LLC “Cement”, town of Slantsy, Leningrad Area, Russian Federation</t>
  </si>
  <si>
    <t>YARA Köping S3 N2O abatement project in Sweden</t>
  </si>
  <si>
    <t>Energy efficiency interventions at OJSC Mordovcement Komsomolskiy town, Republic of Mordovia</t>
  </si>
  <si>
    <t>Cherkasy</t>
  </si>
  <si>
    <t>Use of organic wastes of oil processing operations for process steam and electricity generation at OJSC “Aston”</t>
  </si>
  <si>
    <t>Rostov</t>
  </si>
  <si>
    <t>Installation of a New Waste Heat Recovery System in Alchevsk Coke Plant</t>
  </si>
  <si>
    <t>Japan (Sumitomo)</t>
  </si>
  <si>
    <t>Luhanvsk</t>
  </si>
  <si>
    <t>ACM12+ACM2</t>
  </si>
  <si>
    <t>Like AM44</t>
  </si>
  <si>
    <t>Sunflower husk</t>
  </si>
  <si>
    <t>Lääne-Virumaa</t>
  </si>
  <si>
    <t>Production of woodpellets using natural gas in stead of shale-oil</t>
  </si>
  <si>
    <t>Flexheat</t>
  </si>
  <si>
    <t>Germany (N.Serve)</t>
  </si>
  <si>
    <t>Köping</t>
  </si>
  <si>
    <t>N.Serve</t>
  </si>
  <si>
    <t>ACM3+ACM5+ACM15+AM24</t>
  </si>
  <si>
    <t>Mordovia</t>
  </si>
  <si>
    <t>RO1000132</t>
  </si>
  <si>
    <t>RO1000133</t>
  </si>
  <si>
    <t>FR1000134</t>
  </si>
  <si>
    <t>FR1000135</t>
  </si>
  <si>
    <t>FR1000136</t>
  </si>
  <si>
    <t xml:space="preserve">Energy Efficiency Improvement of the District Heating System in Drobeta Turnu-Severin </t>
  </si>
  <si>
    <t>Boiler Efficiency Improvement at Holboca CET Iasi II</t>
  </si>
  <si>
    <t>Substitution de combustibles fossiles par des énergies renouvelables</t>
  </si>
  <si>
    <t>Optimisation de la Matière Sèche en amont du process de déshydratation, Andainage</t>
  </si>
  <si>
    <t>Projets regroupés de production d’énergie thermique</t>
  </si>
  <si>
    <t>JI0446</t>
  </si>
  <si>
    <t>JI0447</t>
  </si>
  <si>
    <t>JI0449</t>
  </si>
  <si>
    <t>JI0450</t>
  </si>
  <si>
    <t>JI0451</t>
  </si>
  <si>
    <t>JI0452</t>
  </si>
  <si>
    <t>JI0453</t>
  </si>
  <si>
    <t>Lasi</t>
  </si>
  <si>
    <t>Higher efficiency steam boiler</t>
  </si>
  <si>
    <t>Mehedinti</t>
  </si>
  <si>
    <t>Netherlands (Carbon-TF B.V.)</t>
  </si>
  <si>
    <t>CZ1000137</t>
  </si>
  <si>
    <t>CZ1000138</t>
  </si>
  <si>
    <t>CZ1000139</t>
  </si>
  <si>
    <t>CZ1000140</t>
  </si>
  <si>
    <t>CZ1000141</t>
  </si>
  <si>
    <t>DE1000142</t>
  </si>
  <si>
    <t>Blackstone Portfolio CZ - Brezinka</t>
  </si>
  <si>
    <t>Blackstone Portfolio CZ - Cernovice</t>
  </si>
  <si>
    <t>Blackstone Portfolio CZ - Zdounky</t>
  </si>
  <si>
    <t>Blackstone Portfolio CZ - Medlov</t>
  </si>
  <si>
    <t>Blackstone Portfolio CZ - EKOLOGIE</t>
  </si>
  <si>
    <t>ECH Biomasse JI Bonus-Programm</t>
  </si>
  <si>
    <t>JI0454</t>
  </si>
  <si>
    <t>JI0455</t>
  </si>
  <si>
    <t>JI0456</t>
  </si>
  <si>
    <t>JI0457</t>
  </si>
  <si>
    <t>JI0458</t>
  </si>
  <si>
    <t>UA1000143</t>
  </si>
  <si>
    <t>JI0460</t>
  </si>
  <si>
    <t>EE1000144</t>
  </si>
  <si>
    <t>Modernization of an Enterprise Regarding Fuel Switching from Fuel Oil on Natural Gas at PFC</t>
  </si>
  <si>
    <t>EcoVolta</t>
  </si>
  <si>
    <t>Brezinka</t>
  </si>
  <si>
    <t>Medlov</t>
  </si>
  <si>
    <t>Cernovice</t>
  </si>
  <si>
    <t>Zdounky</t>
  </si>
  <si>
    <t xml:space="preserve">Blackstone Global Ventures </t>
  </si>
  <si>
    <t>Lana</t>
  </si>
  <si>
    <t>JIPoA0007</t>
  </si>
  <si>
    <t>JIPoA0007.1</t>
  </si>
  <si>
    <t>Energiecontracting Heidelberg</t>
  </si>
  <si>
    <t>ECH Biomasse JI Bonus-Programm: JPA1</t>
  </si>
  <si>
    <t>Oil to natural gas</t>
  </si>
  <si>
    <t>Kirovohrad</t>
  </si>
  <si>
    <t>TEST Centre</t>
  </si>
  <si>
    <t>Reais</t>
  </si>
  <si>
    <t>Guatamala</t>
  </si>
  <si>
    <t>Quetzales</t>
  </si>
  <si>
    <t>Rupees</t>
  </si>
  <si>
    <t>Hanila</t>
  </si>
  <si>
    <t>Netherlands (ERANUS)</t>
  </si>
  <si>
    <t>Netherlands (STX Services)</t>
  </si>
  <si>
    <t>JI0462</t>
  </si>
  <si>
    <t xml:space="preserve">Virtsu III Wind Power Project </t>
  </si>
  <si>
    <t>JI0466</t>
  </si>
  <si>
    <t>JI0468</t>
  </si>
  <si>
    <t>JI0470</t>
  </si>
  <si>
    <t>JI0472</t>
  </si>
  <si>
    <t>Klinker replacement</t>
  </si>
  <si>
    <t>Two new cement manufacturing lines construction at OJSC Magnitogorskiy cement fire-resistant plant</t>
  </si>
  <si>
    <t>FR1000145</t>
  </si>
  <si>
    <t>FR1000146</t>
  </si>
  <si>
    <t xml:space="preserve">FR1000147 </t>
  </si>
  <si>
    <t xml:space="preserve">FR1000148 </t>
  </si>
  <si>
    <t xml:space="preserve">BG1000149 </t>
  </si>
  <si>
    <t xml:space="preserve">BG1000150 </t>
  </si>
  <si>
    <t xml:space="preserve">BG1000151 </t>
  </si>
  <si>
    <t>BG1000152</t>
  </si>
  <si>
    <t>BG1000153</t>
  </si>
  <si>
    <t>BG1000154</t>
  </si>
  <si>
    <t>Nitrous Oxide Reduction at Agropolychim Fertilizer Plant</t>
  </si>
  <si>
    <t>New cogeneration power station for combined production of heat and electricity in District Heating Bourgas</t>
  </si>
  <si>
    <t>Reduction of Greenhouse Gases by Gasification in the Varna municipality</t>
  </si>
  <si>
    <t xml:space="preserve">Reduction of Greenhouse gases by gasification of Sofia municipality </t>
  </si>
  <si>
    <t>Reduction of Greenhouse gas by gasification of the towns of Veliko Turnovo, Gorna Oryahovitsa and Lyaskovets</t>
  </si>
  <si>
    <t>Pernik District Heating project</t>
  </si>
  <si>
    <t>Projet de réduction des émissions de N2O de la production d'acide nitrique sur le site de Yara Ambès</t>
  </si>
  <si>
    <t>Projet de réduction des émissions de N2O de la production d'acide nitrique sur le site de GPN N8</t>
  </si>
  <si>
    <t>Projet de réduction des émissions de N2O de la production d'acide nitrique sur le site GPN N7</t>
  </si>
  <si>
    <t>Décomposition thermique du protoxyde d'azote (N2O) dans les effluents gazeux de l'atelier précipitation de l'usine Comurhex de Malvési</t>
  </si>
  <si>
    <t>Haute Normandie</t>
  </si>
  <si>
    <t>Germany (N. Serve)</t>
  </si>
  <si>
    <t>N. Serve</t>
  </si>
  <si>
    <t xml:space="preserve">70
</t>
  </si>
  <si>
    <t xml:space="preserve">350
</t>
  </si>
  <si>
    <t>Varna</t>
  </si>
  <si>
    <t>Bourgas</t>
  </si>
  <si>
    <t xml:space="preserve">ACM9
</t>
  </si>
  <si>
    <t>DANCEEE</t>
  </si>
  <si>
    <t>JI0463</t>
  </si>
  <si>
    <t>JI0464</t>
  </si>
  <si>
    <t>JI0465</t>
  </si>
  <si>
    <t>JI0467</t>
  </si>
  <si>
    <t>JI0469</t>
  </si>
  <si>
    <t>JI0471</t>
  </si>
  <si>
    <t>ERUPT</t>
  </si>
  <si>
    <t>YARA International ASA, Germany</t>
  </si>
  <si>
    <t>Nexant, Pöyry Energy, WB-CF</t>
  </si>
  <si>
    <t>Overgas</t>
  </si>
  <si>
    <t>Global Carbon Capital</t>
  </si>
  <si>
    <t>Cogeneration</t>
  </si>
  <si>
    <t>BG1000155</t>
  </si>
  <si>
    <t xml:space="preserve">Kaliakra Wind power project </t>
  </si>
  <si>
    <t>Japan (Japan Carbon Finance+Mitsubishi)</t>
  </si>
  <si>
    <t>Dobrich</t>
  </si>
  <si>
    <t>KPMG-AZSA Sustainability</t>
  </si>
  <si>
    <t>1-3,10</t>
  </si>
  <si>
    <t xml:space="preserve"> 1,3-5,7,12-13</t>
  </si>
  <si>
    <t xml:space="preserve"> 2,6,8-10,15</t>
  </si>
  <si>
    <t>WB: Spanish carbon Fund &amp; Carbon Fund for Europe</t>
  </si>
  <si>
    <t>JI0474</t>
  </si>
  <si>
    <t>JI0475</t>
  </si>
  <si>
    <t>JI0476</t>
  </si>
  <si>
    <t>JI0477</t>
  </si>
  <si>
    <t>JI0478</t>
  </si>
  <si>
    <t>Pakruojo wind power park project</t>
  </si>
  <si>
    <t>Production modernisation at JSC Amurmetal, Komsomolsk-on-Amur, Khabarovsk Krai</t>
  </si>
  <si>
    <t>JI0480</t>
  </si>
  <si>
    <t>UA1000156</t>
  </si>
  <si>
    <t>UA1000157</t>
  </si>
  <si>
    <t>BG1000158</t>
  </si>
  <si>
    <t>BG1000159</t>
  </si>
  <si>
    <t>"Reconstruction of Kramatorsk Heat and Power Plant"</t>
  </si>
  <si>
    <t xml:space="preserve">"Rehabilitation of the District Heating System in Luhansk City" </t>
  </si>
  <si>
    <t>Bulgarian Small Hydro Power Plant (SHPP) Portfolio</t>
  </si>
  <si>
    <t>Sofia District Heating Project</t>
  </si>
  <si>
    <t>Landfill gas recovery in Moscow – landfill site CHMET’EVO</t>
  </si>
  <si>
    <t>JI0481</t>
  </si>
  <si>
    <t>JI0482</t>
  </si>
  <si>
    <t>JI0483</t>
  </si>
  <si>
    <t>JI0484</t>
  </si>
  <si>
    <t>BG1000163</t>
  </si>
  <si>
    <t>JI0485</t>
  </si>
  <si>
    <t>BG1000164</t>
  </si>
  <si>
    <t>ES1000160</t>
  </si>
  <si>
    <t>ES1000161</t>
  </si>
  <si>
    <t>ES1000162</t>
  </si>
  <si>
    <t xml:space="preserve">Fertiberia Aviles abatement project in Spain </t>
  </si>
  <si>
    <t>Fertiberia Puertollano II abatement project in Spain</t>
  </si>
  <si>
    <t xml:space="preserve">Fertiberia Sagunto abatement project in Spain </t>
  </si>
  <si>
    <t xml:space="preserve">Svilosa Biomass Project </t>
  </si>
  <si>
    <t>Co-generation Gas Power Station Biovet</t>
  </si>
  <si>
    <t>Vanaküla</t>
  </si>
  <si>
    <t>JI0486</t>
  </si>
  <si>
    <t>Reduction of Methane Emissions at Flanged, Threaded Joints and Shut-down Devices of OJSC "Odesagas" Equipment</t>
  </si>
  <si>
    <t>BG1000166</t>
  </si>
  <si>
    <t>JI0488</t>
  </si>
  <si>
    <t>BG1000167</t>
  </si>
  <si>
    <t>Methane gas Capture and Electricity Production at Kubratovo Wastewater Treatment, Sofia</t>
  </si>
  <si>
    <t>Portfolio of new cogeneration power stations for combined production of heat and electricity in District Heating Company Pleven and District Heating Company Veliko Tarnovo</t>
  </si>
  <si>
    <t>Pakruojo</t>
  </si>
  <si>
    <t>Khabarovsk</t>
  </si>
  <si>
    <t>Project partner: Danish Ministry of the Environment</t>
  </si>
  <si>
    <t>Veliko Tarnovo</t>
  </si>
  <si>
    <t>Pleven, Veliko Tarnovo</t>
  </si>
  <si>
    <t>Waste water</t>
  </si>
  <si>
    <t>Dolomitas</t>
  </si>
  <si>
    <t>United K. (ContourGlobal Solutions), Germany (GreenStream Network)</t>
  </si>
  <si>
    <t>Higher efficiency coal power</t>
  </si>
  <si>
    <t>Like ACM2</t>
  </si>
  <si>
    <t>ContourGlobal Solutions, GreenStream Network</t>
  </si>
  <si>
    <t>Teplocomunenergo</t>
  </si>
  <si>
    <t>UA1000165</t>
  </si>
  <si>
    <t>Netherlands (Climate Change Investment I S.A. SICAR)</t>
  </si>
  <si>
    <t>Prototype Carbon Fund (PCF)</t>
  </si>
  <si>
    <t>Valencia</t>
  </si>
  <si>
    <t>Pazardzik</t>
  </si>
  <si>
    <t>Castilla La-Mancha</t>
  </si>
  <si>
    <t>Asturias</t>
  </si>
  <si>
    <t>N.serve</t>
  </si>
  <si>
    <t>Biovet</t>
  </si>
  <si>
    <t>Sofiyska Voda</t>
  </si>
  <si>
    <t>Germany (N.serve), United K. (Johnson Matthey)</t>
  </si>
  <si>
    <t>Germany (N.serve)</t>
  </si>
  <si>
    <t>Catalytic reduction of N2O inside the ammonia burner and catalytic N2O destruction in the tail gas of the Bayer Nitric Acid Plant in Köln-Worringen</t>
  </si>
  <si>
    <t>DE1000168</t>
  </si>
  <si>
    <t>GPN Grandpuits N2O abatement project</t>
  </si>
  <si>
    <t>FR1000169</t>
  </si>
  <si>
    <t>FR1000170</t>
  </si>
  <si>
    <t>FR1000171</t>
  </si>
  <si>
    <t>Ile de France</t>
  </si>
  <si>
    <t>Réduction catalytique du N2O issu de l’installation de production d’Acide Nitrique de l’usine de Chalampé (Haut-Rhin)</t>
  </si>
  <si>
    <t>Japan (Rhodia)</t>
  </si>
  <si>
    <t>Haute-Rhin</t>
  </si>
  <si>
    <t>Réduction catalytique du N2O issu de l’installation de production d’Acide Nitrique de l’usine de Roussillon (Isère)</t>
  </si>
  <si>
    <t>Rhône-Alpes</t>
  </si>
  <si>
    <t>JI0489</t>
  </si>
  <si>
    <t>JI0491</t>
  </si>
  <si>
    <t>JI0492</t>
  </si>
  <si>
    <t>JI0493</t>
  </si>
  <si>
    <t>North-Rheine  Westfalia</t>
  </si>
  <si>
    <t>JI0494</t>
  </si>
  <si>
    <t>AM28+AM34</t>
  </si>
  <si>
    <t>BG1000172</t>
  </si>
  <si>
    <t>RO1000173</t>
  </si>
  <si>
    <t>EE1000174</t>
  </si>
  <si>
    <t>UA1000175</t>
  </si>
  <si>
    <t xml:space="preserve">Sunflower and rape seed – bio diesel fuel production and use for transportation in Bulgaria </t>
  </si>
  <si>
    <t xml:space="preserve">Municipal Cogeneration Targoviste </t>
  </si>
  <si>
    <t xml:space="preserve">Saaremaa Animal Waste Management Project </t>
  </si>
  <si>
    <t>JI0496</t>
  </si>
  <si>
    <t>JI0497</t>
  </si>
  <si>
    <t>JI0498</t>
  </si>
  <si>
    <t>JI0499</t>
  </si>
  <si>
    <t>JI0500</t>
  </si>
  <si>
    <t>EE1000176</t>
  </si>
  <si>
    <t>Paldiski Wind Farm</t>
  </si>
  <si>
    <t>Blast Furnace reconstruction at OJSC KMZ, Tula, Tula Region, Russian Federation</t>
  </si>
  <si>
    <t>Paldiski</t>
  </si>
  <si>
    <t>Netherlands (NL Agency)</t>
  </si>
  <si>
    <t>Kyiv</t>
  </si>
  <si>
    <t>JI0501</t>
  </si>
  <si>
    <t xml:space="preserve">Lipetsk </t>
  </si>
  <si>
    <t>JI Specific Approach</t>
  </si>
  <si>
    <t>Reviewed</t>
  </si>
  <si>
    <t xml:space="preserve">Energy efficiency investment programme at Svilocell Pulp Mill </t>
  </si>
  <si>
    <t>BG1000177</t>
  </si>
  <si>
    <t>Global Green Energy</t>
  </si>
  <si>
    <t>Saare</t>
  </si>
  <si>
    <t>AM6+AM16</t>
  </si>
  <si>
    <t>Dambovita</t>
  </si>
  <si>
    <t>Rousse</t>
  </si>
  <si>
    <t>AM13</t>
  </si>
  <si>
    <t>Installation of CCGT-400 at Shaturskaya TPP, OGK-4, Moscow area, Russia</t>
  </si>
  <si>
    <t>FI1000178</t>
  </si>
  <si>
    <t>FI1000179</t>
  </si>
  <si>
    <t>FI1000180</t>
  </si>
  <si>
    <t>UA1000181</t>
  </si>
  <si>
    <t xml:space="preserve">Yara Uusikaupunki T4 N2O abatement project </t>
  </si>
  <si>
    <t xml:space="preserve">Yara Uusikaupunki T2 N2O abatement project </t>
  </si>
  <si>
    <t xml:space="preserve">Yara Siilinjärvi N2O abatement project </t>
  </si>
  <si>
    <t xml:space="preserve">Implementation of Arc Furnace Steelmaking Plant "Electrostal" at Kurakhovo, Donetsk Region </t>
  </si>
  <si>
    <t>JI0503</t>
  </si>
  <si>
    <t>JI0504</t>
  </si>
  <si>
    <t>JI0505</t>
  </si>
  <si>
    <t>JI0506</t>
  </si>
  <si>
    <t>JI0507</t>
  </si>
  <si>
    <t>JI0508</t>
  </si>
  <si>
    <t>JI0509</t>
  </si>
  <si>
    <t>Kreivenai wind power park</t>
  </si>
  <si>
    <t>DE1000182</t>
  </si>
  <si>
    <t>DE1000183</t>
  </si>
  <si>
    <t>YARA Rostock N2O abatement project at plant 2.01</t>
  </si>
  <si>
    <t>YARA Rostock N2O abatement project at plant 2.02</t>
  </si>
  <si>
    <t>RO1000184</t>
  </si>
  <si>
    <t>Upgrading of the Alesd and Campulung Cement Plants</t>
  </si>
  <si>
    <t>Utilization of Surplus Coke Oven Gas with the Electricity Generation at JSC "Yasynivskyi Coke Plant"</t>
  </si>
  <si>
    <t>UA1000185</t>
  </si>
  <si>
    <t>Projet de réduction des émissions de N2O de la production d'acide nitrique sur le site YARA Pardies</t>
  </si>
  <si>
    <t>FR1000186</t>
  </si>
  <si>
    <t>BG1000187</t>
  </si>
  <si>
    <t xml:space="preserve">DE1000188 </t>
  </si>
  <si>
    <t>EnBW Umweltprämie" Programme by EnBW Gas GmbH</t>
  </si>
  <si>
    <t>JI0511</t>
  </si>
  <si>
    <t>JI0512</t>
  </si>
  <si>
    <t>JI0513</t>
  </si>
  <si>
    <t xml:space="preserve">Baden-Württemberg </t>
  </si>
  <si>
    <t>JI0514</t>
  </si>
  <si>
    <t>UA1000189</t>
  </si>
  <si>
    <t>Reconstruction of the Oxygen Compressor Plant at the JSC "Zaporizhstal"</t>
  </si>
  <si>
    <t>Zaporizhzhya</t>
  </si>
  <si>
    <t>Bulgarian Renewable Energy Portfolio Trakija Gas</t>
  </si>
  <si>
    <t>Bulgarian Renewable Energy Portfolio Delektra Hydro</t>
  </si>
  <si>
    <t>Bulgarian Renewable Energy Portfolio Wiwa Agrotex</t>
  </si>
  <si>
    <t xml:space="preserve">Plovdiv </t>
  </si>
  <si>
    <t>Pazardjik</t>
  </si>
  <si>
    <t>Silistra</t>
  </si>
  <si>
    <t>ACM2+ASM-I.D</t>
  </si>
  <si>
    <t>ACM2+MOEW+ASM-I.C</t>
  </si>
  <si>
    <t>Bulgarian Energy Efficiency Sugar Plants</t>
  </si>
  <si>
    <t>Bulgarian Energy Efficiency Zebra AD JSC</t>
  </si>
  <si>
    <t>Bulgarian Energy Efficiency Prinplast</t>
  </si>
  <si>
    <t>Veliko Tarnowo</t>
  </si>
  <si>
    <t xml:space="preserve">Sofia </t>
  </si>
  <si>
    <t>Blagoevgrad</t>
  </si>
  <si>
    <t>Higher efficiency using waste heat+Cogeneration</t>
  </si>
  <si>
    <t>AMS-II.D+ACM2</t>
  </si>
  <si>
    <t xml:space="preserve">Pyrénées-Atlantiques </t>
  </si>
  <si>
    <t>Switzerland (Rutek Trading AG)</t>
  </si>
  <si>
    <t>Rutek Trading AG</t>
  </si>
  <si>
    <t>Bihor and Agres</t>
  </si>
  <si>
    <t>Vakka-Suomi</t>
  </si>
  <si>
    <t>N.serve 
GmbH</t>
  </si>
  <si>
    <t>Kuopio</t>
  </si>
  <si>
    <t>Mecklenburg-Vorpommern</t>
  </si>
  <si>
    <t>Total registered (Final determination)</t>
  </si>
  <si>
    <t>JI0515</t>
  </si>
  <si>
    <t>JI0516</t>
  </si>
  <si>
    <t>JI0517</t>
  </si>
  <si>
    <t xml:space="preserve">DE1000190 </t>
  </si>
  <si>
    <t xml:space="preserve">Pro.JIm - Bonus Programme to increase Energy Efficiency and reduce CO2 Emissions </t>
  </si>
  <si>
    <t>Chernihiv</t>
  </si>
  <si>
    <t>Benaiciai-1 Wind Power Project</t>
  </si>
  <si>
    <t>Kreivenai-III wind power park project</t>
  </si>
  <si>
    <t>JI0519</t>
  </si>
  <si>
    <t>JI0520</t>
  </si>
  <si>
    <t>Germany (N.serve), Norway(YARA)</t>
  </si>
  <si>
    <t>EE commercial buildings</t>
  </si>
  <si>
    <t>JIPoA0008</t>
  </si>
  <si>
    <t>JIPoA0008.1</t>
  </si>
  <si>
    <t>JIPoA0009</t>
  </si>
  <si>
    <t>JIPoA0009.1</t>
  </si>
  <si>
    <t>Improvement of the Energy efficiency at Energomashspetsstal (EMSS), Kramatorsk, Ukraine</t>
  </si>
  <si>
    <t>Utilization of Coal Mine Methane at the Coal Mine named after A.F. Zasyadko</t>
  </si>
  <si>
    <t xml:space="preserve">Palmerston North city Council Awapuni LFG to Energy Project </t>
  </si>
  <si>
    <t>Energy efficient heating boilers &amp; Energy efficient steam boilers</t>
  </si>
  <si>
    <t>Finger Shaft Furnace construction at OJSC Severstal, Cherepovets, Vologda region, Russian Federation</t>
  </si>
  <si>
    <t>JI0521</t>
  </si>
  <si>
    <t>Japan (Rhodia), Germany</t>
  </si>
  <si>
    <t>JI0522</t>
  </si>
  <si>
    <t>CZ1000191</t>
  </si>
  <si>
    <t>Czech Umbrella JI projects</t>
  </si>
  <si>
    <t xml:space="preserve">District heating in Rozmital &amp; Decin + 15 small hydros </t>
  </si>
  <si>
    <t xml:space="preserve">South Bohemia </t>
  </si>
  <si>
    <t>AMS-II.E,+AMS-II.D.+AMS-III.B.+AMS-II.E.</t>
  </si>
  <si>
    <t>ENBW gas</t>
  </si>
  <si>
    <t>EnBW Umweltprämie" Programme by EnBW Gas GmbH: JPA 1</t>
  </si>
  <si>
    <t>AMS-II.E,+AMS-II.D.+AMS-III.D.+AMS-I.C.</t>
  </si>
  <si>
    <t>Proenergy Contracting</t>
  </si>
  <si>
    <t>JPA 1: Real Case - Boiler replacement with fuel switch to biomass</t>
  </si>
  <si>
    <t>JPA 2: Real Case - Boiler replacement with fuel switch to natural gas</t>
  </si>
  <si>
    <t>JIPoA0009.2</t>
  </si>
  <si>
    <t>JI0523</t>
  </si>
  <si>
    <t>Utilization of Bio-Gas for Heat and Power Generation at Pig Farms of Chervona Zirka Farming</t>
  </si>
  <si>
    <t>Switzerland (Vema)</t>
  </si>
  <si>
    <t>Carbon Emission Partnership</t>
  </si>
  <si>
    <t>AMS-III.D.+AMS-I.C.</t>
  </si>
  <si>
    <t>Vejo vatas</t>
  </si>
  <si>
    <t>JI0524</t>
  </si>
  <si>
    <t>BG1000192</t>
  </si>
  <si>
    <t>Realisation of a complex of energy saving activities at the JSC "Odessa Port Plant"</t>
  </si>
  <si>
    <t>Rehabilitation of the District Heating System in Donetsk City</t>
  </si>
  <si>
    <t>Reconstruction of water supply and drainage system "Luganskvoda Ltd."</t>
  </si>
  <si>
    <t xml:space="preserve">UA1000193 </t>
  </si>
  <si>
    <t>UA1000194</t>
  </si>
  <si>
    <t>UA1000195</t>
  </si>
  <si>
    <t>JI0525</t>
  </si>
  <si>
    <t>JI0526</t>
  </si>
  <si>
    <t>JI0527</t>
  </si>
  <si>
    <t>AM20</t>
  </si>
  <si>
    <t xml:space="preserve">District heating </t>
  </si>
  <si>
    <t>Smolyan</t>
  </si>
  <si>
    <t>JI0528</t>
  </si>
  <si>
    <t>HU1000196</t>
  </si>
  <si>
    <t>JI specific approach</t>
  </si>
  <si>
    <t>JI0529</t>
  </si>
  <si>
    <t>JI0530</t>
  </si>
  <si>
    <t>DE1000197</t>
  </si>
  <si>
    <t>UA1000198</t>
  </si>
  <si>
    <t>Catalytic Reduction of N2O inside the amonia burner of the COMPO Nitric Acid Plant in Krefeld</t>
  </si>
  <si>
    <t>Climate protection by efficient manure management and biogas</t>
  </si>
  <si>
    <t>Vacha Cascade Joint Implementation Project</t>
  </si>
  <si>
    <t>Austrian PDD</t>
  </si>
  <si>
    <t>Natsionalna Elektricheska Kompania</t>
  </si>
  <si>
    <t>Switzerland (Carbon Resource Management))</t>
  </si>
  <si>
    <t>Chemical</t>
  </si>
  <si>
    <t>Center TEST</t>
  </si>
  <si>
    <t>Water pumping</t>
  </si>
  <si>
    <t>Biogas plants at ten agricultural enterprises</t>
  </si>
  <si>
    <t>1-5, 7-8,13-15</t>
  </si>
  <si>
    <t>Rehabilitation and technical re-equipment of Starobeshivska thermal power plant of the OJSC "Donbasenergo"</t>
  </si>
  <si>
    <t>Institute of Engineering Ecology, Donbasenergo</t>
  </si>
  <si>
    <t>AM61</t>
  </si>
  <si>
    <t>France (Vertis Environmental Finance)</t>
  </si>
  <si>
    <t>Q1-11</t>
  </si>
  <si>
    <t>Q2-11</t>
  </si>
  <si>
    <t>Q3-11</t>
  </si>
  <si>
    <t>Q4-11</t>
  </si>
  <si>
    <t>JIPoA0010</t>
  </si>
  <si>
    <t>JIPoA0010.1</t>
  </si>
  <si>
    <t>Kriger Biomass Boilers in Ukraine</t>
  </si>
  <si>
    <t>Kriger Energia</t>
  </si>
  <si>
    <t>At validation</t>
  </si>
  <si>
    <t>Denishi Kriger Biomass Boiler</t>
  </si>
  <si>
    <t>Zhytomyr</t>
  </si>
  <si>
    <t>Japan (Marubeni)</t>
  </si>
  <si>
    <t>PL1000199</t>
  </si>
  <si>
    <t>Opole</t>
  </si>
  <si>
    <t>Sweden (MGM International)</t>
  </si>
  <si>
    <t>RU1000200</t>
  </si>
  <si>
    <t>RU1000201</t>
  </si>
  <si>
    <t>RU1000202</t>
  </si>
  <si>
    <t>RO1000203</t>
  </si>
  <si>
    <t>RO1000204</t>
  </si>
  <si>
    <t>UA1000205</t>
  </si>
  <si>
    <t>UA1000206</t>
  </si>
  <si>
    <t xml:space="preserve">Yety-Purovskoe Oil field Associated gas recovery and Utilization project </t>
  </si>
  <si>
    <t>Yamal-Nenets</t>
  </si>
  <si>
    <t>Shinichi Tsuchida</t>
  </si>
  <si>
    <t>Co-destruction of HFC23 and SF6 at KCKK Polimer plant</t>
  </si>
  <si>
    <t>Kirovskaya</t>
  </si>
  <si>
    <t>HFC23</t>
  </si>
  <si>
    <t>Switzerland (Vitol)</t>
  </si>
  <si>
    <t xml:space="preserve">HFC-23 destruction at JSC, Halogen, Perm </t>
  </si>
  <si>
    <t xml:space="preserve">Modernisation of 3 hydro units in Portile de Fier I hydro station </t>
  </si>
  <si>
    <t xml:space="preserve">Drobeta Turnu Severin </t>
  </si>
  <si>
    <t>District heating boilers</t>
  </si>
  <si>
    <t>Higher efficiency hydro power</t>
  </si>
  <si>
    <t xml:space="preserve">Modernisation of 4 hydro units in Portile de Fier II power station </t>
  </si>
  <si>
    <t>Reconstruction of the Units at the Structure Unit “Kurakhovskaya TPP” of the “Skhidenergo” Ltd.</t>
  </si>
  <si>
    <t>United K. (CF Partners)</t>
  </si>
  <si>
    <t xml:space="preserve">Reconstruction of the Units at the Structure Unit “Luhanskaya TPP” of the “Skhidenergo” Ltd. </t>
  </si>
  <si>
    <t>Luharsk</t>
  </si>
  <si>
    <t>ELTA JSC</t>
  </si>
  <si>
    <t>BG1000207</t>
  </si>
  <si>
    <t xml:space="preserve">Biomass and Energy Efficiency Project in paper factory Stambolijski </t>
  </si>
  <si>
    <t>BG1000208</t>
  </si>
  <si>
    <t>BG1000209</t>
  </si>
  <si>
    <t>BG1000210</t>
  </si>
  <si>
    <t>Cogeneration gas power stations AKB Fores</t>
  </si>
  <si>
    <t>Varna &amp; Burgas &amp; Sofia</t>
  </si>
  <si>
    <t>Reduction of greenhouse gases by gasification of Burgas Municipality</t>
  </si>
  <si>
    <t>Burgas</t>
  </si>
  <si>
    <t xml:space="preserve">Small Hydro Power Station Potochnitsa </t>
  </si>
  <si>
    <t>Haskovo district</t>
  </si>
  <si>
    <t>Energy Efficiency Improvement Measures through modernization of cast-iron production at OJSC Tulachermet, Tula, Russia</t>
  </si>
  <si>
    <t>Tula</t>
  </si>
  <si>
    <t xml:space="preserve">Energy Efficiency measures at OJSC “Metallurgical plant named after A.K. Serov” UMMC Company
</t>
  </si>
  <si>
    <t>CTF Consulting</t>
  </si>
  <si>
    <t>JI0532</t>
  </si>
  <si>
    <t>JI0533</t>
  </si>
  <si>
    <t>JI0534</t>
  </si>
  <si>
    <t>JI0538</t>
  </si>
  <si>
    <t>JI0539</t>
  </si>
  <si>
    <t>JI0540</t>
  </si>
  <si>
    <t>JI0541</t>
  </si>
  <si>
    <t>JI0542</t>
  </si>
  <si>
    <t>JI0543</t>
  </si>
  <si>
    <t>JI0544</t>
  </si>
  <si>
    <t>JI0545</t>
  </si>
  <si>
    <t>Reconstruction of Units 1,2,3 and 4 at Zuyevska Thermal Power Plant</t>
  </si>
  <si>
    <t>JIM.Hessen - Joint Implementation project in Hesse for a preterm renewal and modernisation of hot water and steam boilers</t>
  </si>
  <si>
    <t>JIPoA0011</t>
  </si>
  <si>
    <t>JIPoA0011.1</t>
  </si>
  <si>
    <t>Hessen</t>
  </si>
  <si>
    <t>HA Hessen Agentur</t>
  </si>
  <si>
    <t>JPA 1: Real Case - Boiler replacement with fuel switch to wood
pellets</t>
  </si>
  <si>
    <t>DE1000211</t>
  </si>
  <si>
    <t>JI0546</t>
  </si>
  <si>
    <t>JI0547</t>
  </si>
  <si>
    <t>JI0548</t>
  </si>
  <si>
    <t>JI0549</t>
  </si>
  <si>
    <t>JI0550</t>
  </si>
  <si>
    <t>JI0551</t>
  </si>
  <si>
    <t>Energy Efficiency Improvement in Revamping of Steel Production at Severstal JSC, Cherepovets, Russia. Iron production expanding.</t>
  </si>
  <si>
    <t>Seirijai wind power park</t>
  </si>
  <si>
    <t>Alytus</t>
  </si>
  <si>
    <t>Gemba</t>
  </si>
  <si>
    <t>FR1000212</t>
  </si>
  <si>
    <t>FR1000213</t>
  </si>
  <si>
    <t>Projet de réduction des émissions de N2O de la production d’acide nitrique sur le site PEC RHIN</t>
  </si>
  <si>
    <t xml:space="preserve">Projet de réduction des émissions de N2O de la production d’acide nitrique sur le site YARA Montoir </t>
  </si>
  <si>
    <t>Loire</t>
  </si>
  <si>
    <t>EE1000214</t>
  </si>
  <si>
    <t>Vanaküla Wind Power Joint Implementation Project</t>
  </si>
  <si>
    <t>Activité de déshydratation de luzerne et de pulpe de betterave</t>
  </si>
  <si>
    <t>Champagne Ardenne</t>
  </si>
  <si>
    <t>FR1000215</t>
  </si>
  <si>
    <t>JI0552</t>
  </si>
  <si>
    <t>EE1000216</t>
  </si>
  <si>
    <t xml:space="preserve">Jägala-Joa Hydropower Joint Implementation Project </t>
  </si>
  <si>
    <t>Stockholm Environment Institute</t>
  </si>
  <si>
    <t>Cristal Union</t>
  </si>
  <si>
    <t>EE1000217</t>
  </si>
  <si>
    <t xml:space="preserve">Tooma Wind Power Joint Implementation Project </t>
  </si>
  <si>
    <t>JI0554</t>
  </si>
  <si>
    <t>CZ1000218</t>
  </si>
  <si>
    <t xml:space="preserve">TEDOM Portfolio CZ - Orlík IV </t>
  </si>
  <si>
    <t>North Bohemia</t>
  </si>
  <si>
    <t>Belgium (YARA International ASA), France</t>
  </si>
  <si>
    <t>RO1000219</t>
  </si>
  <si>
    <t>JI0556</t>
  </si>
  <si>
    <t xml:space="preserve">DonauChem Nitrous Oxide Abatement Project </t>
  </si>
  <si>
    <t>Netherlands (Vertis Environmental Finance)</t>
  </si>
  <si>
    <t>MGM</t>
  </si>
  <si>
    <t>Processing of waste heaps at Monolith-Ukraine</t>
  </si>
  <si>
    <t>Spontaneously ignition of coal piles</t>
  </si>
  <si>
    <t>JI0557</t>
  </si>
  <si>
    <t>UA1000220</t>
  </si>
  <si>
    <t>UA1000221</t>
  </si>
  <si>
    <t>UA1000222</t>
  </si>
  <si>
    <t>UA1000223</t>
  </si>
  <si>
    <t>UA1000224</t>
  </si>
  <si>
    <t>UA1000225</t>
  </si>
  <si>
    <t>JI0560</t>
  </si>
  <si>
    <t>JI0563</t>
  </si>
  <si>
    <t>Utilization of Waste Wood for Steam Production at Wood-working and Fibreboard Plant “Uniplyt” Ltd.</t>
  </si>
  <si>
    <t>United K. (Climate Change Investment I S.A. SICAR)</t>
  </si>
  <si>
    <t xml:space="preserve">Coal Mine Methane Capture and Utilization at Samsonivska-Zakhidna Mine </t>
  </si>
  <si>
    <t>Effective Utilization of the Blast-furnace Gas and Waste Heat at the JSC “Zaporizhstal”, Ukraine</t>
  </si>
  <si>
    <t>CJSC “National Carbon Sequestration Foundation” (Moscow)</t>
  </si>
  <si>
    <t>Energy Efficiency Measures at the “Public Joint Stock Company Azovstal Iron &amp; Steel Works”</t>
  </si>
  <si>
    <t xml:space="preserve">Introduction of Energy Efficiency Measures at OJSC “Enakievo Metallurgical Works” </t>
  </si>
  <si>
    <t xml:space="preserve">The Abatement of N2O Emissions from Nitric Acid Production at CJSC “SAA” (Ukraine) </t>
  </si>
  <si>
    <t>United K. (CGT Chemical General Trading)</t>
  </si>
  <si>
    <t>Moscow city</t>
  </si>
  <si>
    <t>JI0564</t>
  </si>
  <si>
    <t>UA1000226</t>
  </si>
  <si>
    <t xml:space="preserve">UkrHydroEnergo (UHE) Hydropower Rehabilitation Project in Ukraine </t>
  </si>
  <si>
    <t>Rehabilitation of 46 hydro units which are located at nine different sites</t>
  </si>
  <si>
    <t>Netherlands (Netherlands European Carbon Facility)</t>
  </si>
  <si>
    <t>JI0565</t>
  </si>
  <si>
    <t>Top Envi Tech</t>
  </si>
  <si>
    <t>United K. (EcoSecurities)</t>
  </si>
  <si>
    <t>RU1000227</t>
  </si>
  <si>
    <t>RU1000228</t>
  </si>
  <si>
    <t>JI0566</t>
  </si>
  <si>
    <t>JI0568</t>
  </si>
  <si>
    <t>RU1000229</t>
  </si>
  <si>
    <t>RU1000230</t>
  </si>
  <si>
    <t>JI0570</t>
  </si>
  <si>
    <t>RU1000231</t>
  </si>
  <si>
    <t>JI0571</t>
  </si>
  <si>
    <t>RU1000232</t>
  </si>
  <si>
    <t>RU1000233</t>
  </si>
  <si>
    <t xml:space="preserve">Evaporation System Modernization at OJSC “Ilim Group” Branch in Koryazhma </t>
  </si>
  <si>
    <t>CCGS</t>
  </si>
  <si>
    <t xml:space="preserve">Chelyabinsk </t>
  </si>
  <si>
    <t xml:space="preserve">Associated Petroleum Gas Recovery for the Kharampur oil fields of “Rosneft” </t>
  </si>
  <si>
    <t>Yamalo-Nenetsky</t>
  </si>
  <si>
    <t xml:space="preserve">Associated Gas Recovery Project for the Komsomolskoye Oil Field </t>
  </si>
  <si>
    <t>Denmark (DONG)</t>
  </si>
  <si>
    <t>No. 2 of 23/07/10</t>
  </si>
  <si>
    <t>No. 13 of 23/07/10</t>
  </si>
  <si>
    <t>No. 14 of 23/07/10</t>
  </si>
  <si>
    <t>No. 3 of 23/07/10</t>
  </si>
  <si>
    <t>No. 4 of 30/12/10</t>
  </si>
  <si>
    <t>No.1 of 30/12/10</t>
  </si>
  <si>
    <t xml:space="preserve">Reduction of perfluorocarbons emissions from RUSAL Krasnoyarsk Aluminium Smelter </t>
  </si>
  <si>
    <t>No. 6 of 30/12/10</t>
  </si>
  <si>
    <t>PFCs and SF6</t>
  </si>
  <si>
    <t>Krasnoyarsk</t>
  </si>
  <si>
    <t>AM30</t>
  </si>
  <si>
    <t>Biomass wastes to energy at OJSC “Ilim Group” Branch in the town of Bratsk</t>
  </si>
  <si>
    <t>JI0572</t>
  </si>
  <si>
    <t>JI0573</t>
  </si>
  <si>
    <t>JI0574</t>
  </si>
  <si>
    <t>JI0576</t>
  </si>
  <si>
    <t>JI0578</t>
  </si>
  <si>
    <t>JI0579</t>
  </si>
  <si>
    <t>CZ1000234</t>
  </si>
  <si>
    <t>CZ1000235</t>
  </si>
  <si>
    <t>CZ1000236</t>
  </si>
  <si>
    <t>RU1000237</t>
  </si>
  <si>
    <t>RU1000238</t>
  </si>
  <si>
    <t>RU1000239</t>
  </si>
  <si>
    <t>RU1000240</t>
  </si>
  <si>
    <t>No. 18 of 30/12/10</t>
  </si>
  <si>
    <t>No. 11 of 30/12/10</t>
  </si>
  <si>
    <t>No. 1 of 23/07/10</t>
  </si>
  <si>
    <t xml:space="preserve">BTG Biomass Energy Portfolio CZ - Trhove Sviny </t>
  </si>
  <si>
    <t>South Bohemia</t>
  </si>
  <si>
    <t xml:space="preserve">BTG Biomass Energy Portfolio CZ - Kasperske Hory </t>
  </si>
  <si>
    <t>BTG Biomass Energy Portfolio CZ - Trebic Jih</t>
  </si>
  <si>
    <t>Landfill gas recovery and flaring at the municipal solid waste site “Shirokorechenskiy”, Ekaterinburg, Russian Federation</t>
  </si>
  <si>
    <t xml:space="preserve">Reconstruction of the steelmaking at JSC “Ashinskiy Metallurgical Works”, Asha, Russian Federation </t>
  </si>
  <si>
    <t>RO1000241</t>
  </si>
  <si>
    <t>Upgrading of technological tube furnaces at the company “LUKOIL-Permnefteorgsintez” LLC, city of Perm, Russian Federation</t>
  </si>
  <si>
    <t xml:space="preserve">Windpark Casimcea </t>
  </si>
  <si>
    <t>Tulcea</t>
  </si>
  <si>
    <t>Energy Changes Projektentwicklung</t>
  </si>
  <si>
    <t>Austria (Energy Changes Projektentwicklung+Verbund Austrian Renewable Power)</t>
  </si>
  <si>
    <t>CZ1000242</t>
  </si>
  <si>
    <t>CZ1000243</t>
  </si>
  <si>
    <t>JI0580</t>
  </si>
  <si>
    <t>JI0581</t>
  </si>
  <si>
    <t>JI0582</t>
  </si>
  <si>
    <t>CZ1000244</t>
  </si>
  <si>
    <t>JI0583</t>
  </si>
  <si>
    <t>CZ1000245</t>
  </si>
  <si>
    <t>JI0584</t>
  </si>
  <si>
    <t>CZ1000246</t>
  </si>
  <si>
    <t>JI0585</t>
  </si>
  <si>
    <t>CZ1000247</t>
  </si>
  <si>
    <t>JI0586</t>
  </si>
  <si>
    <t>CZ1000248</t>
  </si>
  <si>
    <t>JI0587</t>
  </si>
  <si>
    <t>CZ1000249</t>
  </si>
  <si>
    <t>JI0588</t>
  </si>
  <si>
    <t>CZ1000250</t>
  </si>
  <si>
    <t>JI0589</t>
  </si>
  <si>
    <t>CZ1000251</t>
  </si>
  <si>
    <t>JI0590</t>
  </si>
  <si>
    <t>RO1000252</t>
  </si>
  <si>
    <t>BTG Biomass Energy Portfolio CZ - Trebic Sever</t>
  </si>
  <si>
    <t>Trebic</t>
  </si>
  <si>
    <t xml:space="preserve">AVE CZ - Benatky </t>
  </si>
  <si>
    <t xml:space="preserve">AVE CZ - Fedrpus </t>
  </si>
  <si>
    <t>MAEN Portfolio CZ - Cernosin</t>
  </si>
  <si>
    <t xml:space="preserve">MAEN Portfolio CZ - Nasavrky </t>
  </si>
  <si>
    <t xml:space="preserve">MAEN Portfolio CZ - Pisek </t>
  </si>
  <si>
    <t xml:space="preserve">MAEN Portfolio CZ - Rapotin </t>
  </si>
  <si>
    <t xml:space="preserve">MAEN Portfolio CZ - Ronov </t>
  </si>
  <si>
    <t>Vysočina</t>
  </si>
  <si>
    <t xml:space="preserve">MAEN Portfolio CZ - Unanov </t>
  </si>
  <si>
    <t>South Moravia</t>
  </si>
  <si>
    <t xml:space="preserve">MAEN Portfolio CZ - Vrbicka </t>
  </si>
  <si>
    <t>Renewable Energy Production Facilities in Babadag, Tulcea, Track I</t>
  </si>
  <si>
    <t>France (CAMCO)</t>
  </si>
  <si>
    <t>eco2ro environmentally friendly solutions</t>
  </si>
  <si>
    <t>JI0591</t>
  </si>
  <si>
    <t>RO1000253</t>
  </si>
  <si>
    <t>Hidroelectrica Hydropower Development Portfolio Track 1 JI Project</t>
  </si>
  <si>
    <t>Foundation Joint Implementation Network</t>
  </si>
  <si>
    <t xml:space="preserve"> 42 hydro plants</t>
  </si>
  <si>
    <t>Total Issuance</t>
  </si>
  <si>
    <t xml:space="preserve"> kERUs</t>
  </si>
  <si>
    <t>Iss. success</t>
  </si>
  <si>
    <t>Issuance  from Track 1</t>
  </si>
  <si>
    <t>Issuance from Track 2</t>
  </si>
  <si>
    <t>France (YARA International ASA+N. Serve)</t>
  </si>
  <si>
    <t>CO2 usage</t>
  </si>
  <si>
    <t>Total acumulated issuance</t>
  </si>
  <si>
    <t>MERUs</t>
  </si>
  <si>
    <t>Abandoned Coal Mine Methane Utilization at "NPK-Kontakt" Ltd.</t>
  </si>
  <si>
    <t>Projet de destruction du protoxyde d’azote rejeté lors de la production de protoxyde d’azote applicable à l’installation existante de l’usine de Frais Marais</t>
  </si>
  <si>
    <t xml:space="preserve">Rehabilitation of the District Heating System of Zaporizhzhia City </t>
  </si>
  <si>
    <t>Utilization of Sunflower Seeds Husk for Steam and Power Production at the Oil Extraction Plant OJSC "Kirovogradoliya"</t>
  </si>
  <si>
    <t>UA1000255</t>
  </si>
  <si>
    <t>UA1000256</t>
  </si>
  <si>
    <t>UA1000257</t>
  </si>
  <si>
    <t>JI0592</t>
  </si>
  <si>
    <t>JI0594</t>
  </si>
  <si>
    <t>JI0595</t>
  </si>
  <si>
    <t>Biogas Utilization for Generating of Electricity and Heat at the Farms of Ukrainian Dairy Company Ltd.</t>
  </si>
  <si>
    <t xml:space="preserve">Cogeneration and Utilization of Waste Heat at Uman Greenhouse Combinate </t>
  </si>
  <si>
    <t>Energy Efficiency Investment Program at OJSC ArcelorMittal Steel Kryviy Rih</t>
  </si>
  <si>
    <t>UA1000258</t>
  </si>
  <si>
    <t>Dnipropetrovsk</t>
  </si>
  <si>
    <t>Luxembourg (ArcelorMittal)</t>
  </si>
  <si>
    <t>MWH Global</t>
  </si>
  <si>
    <t>Switzerland (VEMA)</t>
  </si>
  <si>
    <t>Switzerland (INERCO TRADE)</t>
  </si>
  <si>
    <t>Zaporizhzhia</t>
  </si>
  <si>
    <t>Switzerland (Carbon Resource Management)</t>
  </si>
  <si>
    <t>Carbon Resource Management</t>
  </si>
  <si>
    <t>Switzerland (RutekTrading)</t>
  </si>
  <si>
    <t>Two diary frams with 10000 cattle heads.</t>
  </si>
  <si>
    <t>Chernigiv</t>
  </si>
  <si>
    <t>AMS-III.C.+AMS-I.C.</t>
  </si>
  <si>
    <t>Environmental (Green) Investments Fund Ltd. (EGIF)</t>
  </si>
  <si>
    <t>Nord-Pas-de-Calais</t>
  </si>
  <si>
    <t>France (Air Liquide+Pergen)</t>
  </si>
  <si>
    <t>Air Liquide</t>
  </si>
  <si>
    <t>Fresh vegetable producer will for greenhouse use cogeneration + waste heat from ngas compressor station 1.5 km</t>
  </si>
  <si>
    <t>KT-Energy</t>
  </si>
  <si>
    <t>JI0596</t>
  </si>
  <si>
    <t>JI0598</t>
  </si>
  <si>
    <t>JI0599</t>
  </si>
  <si>
    <t>JI0600</t>
  </si>
  <si>
    <t>New projects</t>
  </si>
  <si>
    <r>
      <t xml:space="preserve">All the track 2 projects in the pipeline are sorted after the month their 30 day public comment period under validation </t>
    </r>
    <r>
      <rPr>
        <b/>
        <sz val="10"/>
        <rFont val="Arial"/>
        <family val="2"/>
      </rPr>
      <t>started</t>
    </r>
    <r>
      <rPr>
        <sz val="10"/>
        <rFont val="Arial"/>
        <family val="2"/>
      </rPr>
      <t>. Track 1 projects are sorted after the month they apear at the UNFCCC JI web-site.</t>
    </r>
  </si>
  <si>
    <t>The graph shows the total number of new JI projects each month.</t>
  </si>
  <si>
    <t>DNV Climate Change Services AS</t>
  </si>
  <si>
    <t xml:space="preserve"> 1-10,12-13,15</t>
  </si>
  <si>
    <t>LGAI</t>
  </si>
  <si>
    <t>1,13</t>
  </si>
  <si>
    <t xml:space="preserve"> 2-12,14-15</t>
  </si>
  <si>
    <t>Korea Environment Corporation</t>
  </si>
  <si>
    <t>1,3-5,7,12-13,15</t>
  </si>
  <si>
    <t>1-5,8-10,13</t>
  </si>
  <si>
    <t>6-7, 14-15</t>
  </si>
  <si>
    <t>KICTEP</t>
  </si>
  <si>
    <t>Korea Institute of Construction &amp; Transportation Technology Evaluation and Planning</t>
  </si>
  <si>
    <t>6,7,13</t>
  </si>
  <si>
    <t>Re-consult</t>
  </si>
  <si>
    <t>re-consult Ltd.</t>
  </si>
  <si>
    <t>Turkey</t>
  </si>
  <si>
    <t xml:space="preserve">URS Verification Private Limited </t>
  </si>
  <si>
    <t>KTR</t>
  </si>
  <si>
    <t xml:space="preserve">Korea Testing &amp; Research Institute </t>
  </si>
  <si>
    <t>1,4-5,11,13</t>
  </si>
  <si>
    <t>IBOPE</t>
  </si>
  <si>
    <t>IBOPE Instituto Brasileiro de Opinião Pública e Estatística Ltda.</t>
  </si>
  <si>
    <t>MASCI</t>
  </si>
  <si>
    <t>MASCI Management System Certification Institute</t>
  </si>
  <si>
    <t>1,3-4,13,15</t>
  </si>
  <si>
    <t>FR1000259</t>
  </si>
  <si>
    <t>Coal Mine Capture and Utilization at KWK Borynia Coalmine, Poland</t>
  </si>
  <si>
    <t>Coal- to-Waste Wood Energy Switch in Town of Onega</t>
  </si>
  <si>
    <t>Reconstruction of the steel – smelting manufacture of “Seversky pipe plant”</t>
  </si>
  <si>
    <t xml:space="preserve">Wood waste-to-energy project at Sawmill-25 </t>
  </si>
  <si>
    <t>JI0604</t>
  </si>
  <si>
    <t>No. 10 of 23/07/2010. Before track 2 no 195</t>
  </si>
  <si>
    <t>UA1000260</t>
  </si>
  <si>
    <t>Slaskie</t>
  </si>
  <si>
    <t>Chugoku Electric, Mizuho Corporate Bank</t>
  </si>
  <si>
    <t>In progress</t>
  </si>
  <si>
    <t>GFA Consulting Group</t>
  </si>
  <si>
    <t>No. 15 of 30/12/10; District heating boilers changed from coal to biomass</t>
  </si>
  <si>
    <t>No. 13 of 30/12/10</t>
  </si>
  <si>
    <t>Sweden (Tricorona Carbon Asset Management Sweden)</t>
  </si>
  <si>
    <t>Tricorona Carbon Asset Management Sweden</t>
  </si>
  <si>
    <t>JI0605</t>
  </si>
  <si>
    <t>Construction of electric arc furnace shop with open heart furnace production decommissioning at OJSC “NSMMZ”, Revda, Russia</t>
  </si>
  <si>
    <t>Construction of mini-plants that would use electric furnaces steelmaking technology and produce section steel by the more energy efficient continuous casting machines.</t>
  </si>
  <si>
    <t>No. 5 of 30/12/10; PDD in Russian</t>
  </si>
  <si>
    <t>Biomass utilization at JSC Segezha Pulp and Paper Mill</t>
  </si>
  <si>
    <t>JI0606</t>
  </si>
  <si>
    <t>JI0608</t>
  </si>
  <si>
    <t xml:space="preserve">Reconstruction of the OJSC “Nizhniy Tagil Iron and Steel Works” blast furnaces #5 and #6 </t>
  </si>
  <si>
    <t>No. 14 of 30/12/10</t>
  </si>
  <si>
    <t>No.7 of 23/07/10</t>
  </si>
  <si>
    <t xml:space="preserve">Wood waste to energy in Severoonezhsk, the Arkhangelsk Region </t>
  </si>
  <si>
    <t>No. 17 of 30/12/10</t>
  </si>
  <si>
    <t>No. 8 of 30/12/10</t>
  </si>
  <si>
    <t xml:space="preserve">Reduction of N2O Emissions from Nitric Acid Production at OJSC “AZOT”, Cherkasy, Ukraine
</t>
  </si>
  <si>
    <t>CCGS LLC</t>
  </si>
  <si>
    <t>Netherlands (Stichting Carbon Finance)</t>
  </si>
  <si>
    <t>Landfill Gas Capture Project in Kremenchuk</t>
  </si>
  <si>
    <t>Germany (Vattenfall+HAASE Energietechnik+Management Business Service)</t>
  </si>
  <si>
    <t>Management Business Service</t>
  </si>
  <si>
    <t>Landfill Gas Capture Project in Kharkiv</t>
  </si>
  <si>
    <t>Landfill Gas Capture Project in Vinnytsia</t>
  </si>
  <si>
    <t>Vinnytsia</t>
  </si>
  <si>
    <t>Expansion and development of Geothermal Energy, Zakopane, Poland</t>
  </si>
  <si>
    <t xml:space="preserve">Revamping of Sintering and Blast-Furnace Production at OJSC "Alchevsk Iron and Steel Works" </t>
  </si>
  <si>
    <t>JI0610</t>
  </si>
  <si>
    <t>JI0611</t>
  </si>
  <si>
    <t>JI0612</t>
  </si>
  <si>
    <t>JI0613</t>
  </si>
  <si>
    <t>JI0614</t>
  </si>
  <si>
    <t>Podhale</t>
  </si>
  <si>
    <t>Institute for Environment and Energy Conservation</t>
  </si>
  <si>
    <t xml:space="preserve">Reduction of Methane Leakage at Flanged, Threaded Joints and shut-down Devices of the Equipment of OJSC "Kyivgas" </t>
  </si>
  <si>
    <t>Monthly increase</t>
  </si>
  <si>
    <t>Construction of Combined Cycle Gas Turbine Unit at Perm CHPP-6, Russia</t>
  </si>
  <si>
    <t>JI0615</t>
  </si>
  <si>
    <t>RU1000261</t>
  </si>
  <si>
    <t>UA1000262</t>
  </si>
  <si>
    <t>RU1000263</t>
  </si>
  <si>
    <t>PL1000264</t>
  </si>
  <si>
    <t>PL1000265</t>
  </si>
  <si>
    <t xml:space="preserve">Reconstruction of the Agglomerate and Blast-Furnace Production at the JSC “Zaporizhstal” </t>
  </si>
  <si>
    <t>Switzerland (EGL)</t>
  </si>
  <si>
    <t>Tahir Musayev</t>
  </si>
  <si>
    <t>JI0616</t>
  </si>
  <si>
    <t>Sweden (BASF)</t>
  </si>
  <si>
    <t>France (Energicontracting Heidelberg)</t>
  </si>
  <si>
    <t>PoAs Issuance</t>
  </si>
  <si>
    <t>Japan (SMBC)</t>
  </si>
  <si>
    <t>SMBC = Sumitomo Mitsui Banking Corporation</t>
  </si>
  <si>
    <t>Japan (Unnamed Company)</t>
  </si>
  <si>
    <t>Coop de France</t>
  </si>
  <si>
    <t>LGAI Technological Center (Applus+ CTC)</t>
  </si>
  <si>
    <t>Vema S.A.</t>
  </si>
  <si>
    <t>Wind Park Novoazovskiy in Ukraine</t>
  </si>
  <si>
    <t>Reconstruction of the power units at the “Zaporizka TPP” of the “Dniproenergo” JSC</t>
  </si>
  <si>
    <t>Reconstruction of the power units at the “Prydniprovska TPP” of the “Dniproenergo” JSC</t>
  </si>
  <si>
    <t>JI0619</t>
  </si>
  <si>
    <t>JI0620</t>
  </si>
  <si>
    <t>JI0621</t>
  </si>
  <si>
    <t>JI0622</t>
  </si>
  <si>
    <t>JI0623</t>
  </si>
  <si>
    <t>Lighting</t>
  </si>
  <si>
    <t>JI Specific Approach+ACM2</t>
  </si>
  <si>
    <t>Reconstruction of the units at the “Kryvorizka TPP” of the Dniproenergo” JSC</t>
  </si>
  <si>
    <t>Power plant rehabilitation</t>
  </si>
  <si>
    <t>Elta-Eco LLC</t>
  </si>
  <si>
    <t xml:space="preserve">UA1000022 </t>
  </si>
  <si>
    <t>JI0624</t>
  </si>
  <si>
    <t>JI0625</t>
  </si>
  <si>
    <t>JI0626</t>
  </si>
  <si>
    <t>JI0627</t>
  </si>
  <si>
    <t xml:space="preserve">Utilization of associated petroleum gas (APG) at the Serginskoye oil field </t>
  </si>
  <si>
    <t xml:space="preserve">Utilization of Associated petroleum gas (APG) at the Vostochno-Perevalnoye oil field </t>
  </si>
  <si>
    <t>Tumen</t>
  </si>
  <si>
    <t>Oil and gas processing flaring</t>
  </si>
  <si>
    <t>AM9+JI Specific Approach</t>
  </si>
  <si>
    <t xml:space="preserve">NZ1000267 </t>
  </si>
  <si>
    <t>UA1000266</t>
  </si>
  <si>
    <t>Taupo</t>
  </si>
  <si>
    <t>Geothermal electricity</t>
  </si>
  <si>
    <t>Development and improvement of water supply system, drainage system and wastewater treatment of "Infox Ltd." branch "Іnfoxvodokanal"</t>
  </si>
  <si>
    <t xml:space="preserve">UA1000269 </t>
  </si>
  <si>
    <t>JI0628</t>
  </si>
  <si>
    <t>JI0629</t>
  </si>
  <si>
    <t>JI0630</t>
  </si>
  <si>
    <t>Revamping of Sintering and Blast-furnace Production at OJSC "Dniprovsky Integrated Iron and Steel Works named after Dzerzhynsky"</t>
  </si>
  <si>
    <t>ACM2+JI Specific Approach</t>
  </si>
  <si>
    <t>RU1000270</t>
  </si>
  <si>
    <t>UA1000271</t>
  </si>
  <si>
    <t>RU1000268</t>
  </si>
  <si>
    <t>Netherlands (SIA "E-Kvotas")</t>
  </si>
  <si>
    <t>CJSC</t>
  </si>
  <si>
    <t>Energy Efficiency Increase in Steelmaking and Sinter Plants JSC “Zaporizhstal”, Ukraine</t>
  </si>
  <si>
    <t>Utilization of associated petroleum gas (APG) at the Sredne-Khulymsk oil field</t>
  </si>
  <si>
    <t xml:space="preserve">Rotokawa Geothermal Project </t>
  </si>
  <si>
    <t>UA1000272</t>
  </si>
  <si>
    <t xml:space="preserve"> The same as the old ref=45</t>
  </si>
  <si>
    <t xml:space="preserve">Greenhouse gases emission reduction due to replacement of power, generated by the traditional fuel fired power plants, as a result of rehabilitation and construction of the small hydropower plants, operated by EEE “Novosvit” and “Energoinvest”, Ltd. </t>
  </si>
  <si>
    <t>Fifteen small hydropower plants on the fifteen rivers of Ukraine</t>
  </si>
  <si>
    <t>Institute of Engineering Ecology, EEA “Novosvit”</t>
  </si>
  <si>
    <t>Reconstruction and Modernization of Main-line Electrical Grids of NPC “Ukrenergo”</t>
  </si>
  <si>
    <t xml:space="preserve">Twenty six cities and regions of Ukraine </t>
  </si>
  <si>
    <t>Netherlands (Global Carbon B.V.), Switzerland (VEMA), Japan (Marubeni)</t>
  </si>
  <si>
    <t>Efficient electricity distribution</t>
  </si>
  <si>
    <t>Ukrenergo, Vema</t>
  </si>
  <si>
    <t>UA1000273</t>
  </si>
  <si>
    <t>UA1000274</t>
  </si>
  <si>
    <t>Track2 ref=38 before</t>
  </si>
  <si>
    <t>UA1000279</t>
  </si>
  <si>
    <t>RU1000276</t>
  </si>
  <si>
    <t>RU1000277</t>
  </si>
  <si>
    <t>RU1000278</t>
  </si>
  <si>
    <t>JI0631</t>
  </si>
  <si>
    <t>JI0632</t>
  </si>
  <si>
    <t>JI0633</t>
  </si>
  <si>
    <t>Reduction of Power Consumption and Waste Disposal at “Obolon” PJSC</t>
  </si>
  <si>
    <t>Technical Upgrade of OJSC Dniprovsky Integrated Iron and Steel Works named after Dzerzhynsky by Installation of Two Billet Continuous Casting Machines and Two Ladle Furnaces</t>
  </si>
  <si>
    <t>JI0637</t>
  </si>
  <si>
    <t>JI0638</t>
  </si>
  <si>
    <t xml:space="preserve">Rehabilitation of the District Heating System in Dnipropetrovsk Region </t>
  </si>
  <si>
    <t xml:space="preserve">UA1000254 </t>
  </si>
  <si>
    <t>Netherlands (Endesa)</t>
  </si>
  <si>
    <t>Netherlands (Carbon Trade and Finance)</t>
  </si>
  <si>
    <t>Waste heaps coal extraction by Technoanthracite Ltd.</t>
  </si>
  <si>
    <t>RU1000281</t>
  </si>
  <si>
    <t>RU1000282</t>
  </si>
  <si>
    <t>Reduction of Methane Emissions on the Gas Equipment of Gas-distributing Points and on the Gas Armature of Gas-distributing Networks of PJSC "Mariupolgaz</t>
  </si>
  <si>
    <t>UA1000284</t>
  </si>
  <si>
    <t>UA1000283</t>
  </si>
  <si>
    <t>UA1000280</t>
  </si>
  <si>
    <t>UA1000275</t>
  </si>
  <si>
    <t>Reduction of Greenhouse Gases Emissions by Gasification of Odesa Region</t>
  </si>
  <si>
    <t>UA1000285</t>
  </si>
  <si>
    <t>Modernization of Electric Power Distribution System at PJSC "Kirovogradoblenergo"</t>
  </si>
  <si>
    <t>Energy Efficiency Programme at the Plants of LLC Firm “Astarta-Kyiv”</t>
  </si>
  <si>
    <t>Landfill Methane Capture and Utilisation at Mariupol Landfills, Ukraine</t>
  </si>
  <si>
    <t>Emission Reduction of Nitrous Oxide in Nitric Acid Production at Neochim PLC</t>
  </si>
  <si>
    <t>Modernization of Electric Power Distribution System at OJSC "Odesaoblenergo"</t>
  </si>
  <si>
    <t>JI0639</t>
  </si>
  <si>
    <t>JI0640</t>
  </si>
  <si>
    <t>JI0641</t>
  </si>
  <si>
    <t>JI0642</t>
  </si>
  <si>
    <t>JI0643</t>
  </si>
  <si>
    <t>JI0644</t>
  </si>
  <si>
    <t>JI0645</t>
  </si>
  <si>
    <t>JI0646</t>
  </si>
  <si>
    <t>JI0647</t>
  </si>
  <si>
    <t>JI0648</t>
  </si>
  <si>
    <t>JI0649</t>
  </si>
  <si>
    <t>UA1000288</t>
  </si>
  <si>
    <t>UA1000286</t>
  </si>
  <si>
    <t>UA1000287</t>
  </si>
  <si>
    <t>Implementation of Energy Saving Equipment and Technologies at the State Enterprise "Production Association Yuzhny Machine-Building Plant named after A. Makarov</t>
  </si>
  <si>
    <t>UA1000290</t>
  </si>
  <si>
    <t xml:space="preserve">Implementation of Energy Saving Measures at PJSC "Lysychanskiy Glass Factory "Proletary" </t>
  </si>
  <si>
    <t>UA1000289</t>
  </si>
  <si>
    <t>Utilization of Biomass for Steam and Power Supply at Peresechansk Sunflower Oil Extraction Mill</t>
  </si>
  <si>
    <t>UA1000291</t>
  </si>
  <si>
    <t xml:space="preserve">Modernization of Electric Power Distribution System at PJSC "PC "Sevastopolenergo" </t>
  </si>
  <si>
    <t xml:space="preserve">Development and Upgrade of District Water Supply and Disposal System in Zaporizhzhia City </t>
  </si>
  <si>
    <t>Modernization of Electric Power Distribution System at PJSC "PC "Khersonoblenergo"</t>
  </si>
  <si>
    <t>Modernization of Electric Power Distribution System at PJSC "PC "Zhytomyroblenergo"</t>
  </si>
  <si>
    <t xml:space="preserve">Distribution of Energy Efficient Light Bulbs in Public and Private Sectors of Ukraine </t>
  </si>
  <si>
    <t>Switzerland (Promosura)</t>
  </si>
  <si>
    <t>Primlight</t>
  </si>
  <si>
    <t>Vema</t>
  </si>
  <si>
    <t>Kherson</t>
  </si>
  <si>
    <t>Japan (Asuka Green Investment Co.)</t>
  </si>
  <si>
    <t>Haskovo</t>
  </si>
  <si>
    <t>Neochim</t>
  </si>
  <si>
    <t>JI0634</t>
  </si>
  <si>
    <t>JI0635</t>
  </si>
  <si>
    <t>JI0636</t>
  </si>
  <si>
    <t>JI0650</t>
  </si>
  <si>
    <t>JI0651</t>
  </si>
  <si>
    <t>Glass</t>
  </si>
  <si>
    <t>sunflower seed husk</t>
  </si>
  <si>
    <t>Luxembourg (CAMCO)</t>
  </si>
  <si>
    <t>Estonia (OŰ Biotechnoloogia)</t>
  </si>
  <si>
    <t>OBLTEPLOCOMUNENERGO</t>
  </si>
  <si>
    <t>JI0652</t>
  </si>
  <si>
    <t>Power Farm in Buciai and Kadariai Villages Joint Implementation Project</t>
  </si>
  <si>
    <t>BG1000292</t>
  </si>
  <si>
    <t>UA1000293</t>
  </si>
  <si>
    <t>UA1000294</t>
  </si>
  <si>
    <t>UA1000295</t>
  </si>
  <si>
    <t>JI0653</t>
  </si>
  <si>
    <t>JI0654</t>
  </si>
  <si>
    <t>JI0655</t>
  </si>
  <si>
    <t>JI0656</t>
  </si>
  <si>
    <t xml:space="preserve">Rehabilitation of the District Heating Systems in Makiivka, Mariupol, Artemivsk Cities of Donetsk Region </t>
  </si>
  <si>
    <t xml:space="preserve">Reduction of Methane Emissions on the Gas Equipment of Gas-distributing Points and on the Gas Armature of Gas-distributing Networks of CJSC “Theodosia” </t>
  </si>
  <si>
    <t>Reduction of Methane Emissions on the Gas Equipment of Gas Distribution Plants, Gas Armature, Flanged and Threaded Connections of Gas Distribution Networks of PJSC "Vinnitsagaz</t>
  </si>
  <si>
    <t>Switzerland (CEP Carbon Emissions Partners)</t>
  </si>
  <si>
    <t>Moston Properties</t>
  </si>
  <si>
    <t>Landfill Gas Capture Project in Zaporizhya</t>
  </si>
  <si>
    <t>JI0657</t>
  </si>
  <si>
    <t>JI0658</t>
  </si>
  <si>
    <t>JI0659</t>
  </si>
  <si>
    <t>Germany (Management Business Service), Netherlands (Vattenfall)</t>
  </si>
  <si>
    <t>Zaporizhya</t>
  </si>
  <si>
    <t>Silale</t>
  </si>
  <si>
    <t>UAB 4energia</t>
  </si>
  <si>
    <t>UA1000296</t>
  </si>
  <si>
    <t>UA1000297</t>
  </si>
  <si>
    <t>UA1000298</t>
  </si>
  <si>
    <t>UA1000299</t>
  </si>
  <si>
    <t>Waste Heap Dismantling in Luhansk Region of Ukraine by PE “SNABTEHMONTAZH” with the Aim of Reduction Greenhouse Gases Emissions to Atmosphere</t>
  </si>
  <si>
    <t>Waste Heaps Dismantling in Luhansk Region of Ukraine by “FPG “SKHID-ZAKHID” with the Aim of Decreasing the Greenhouse Gases Emissions into the Atmosphere</t>
  </si>
  <si>
    <t>Reduction of methane leakage at flange, threaded joints and switch mechanisms of the equipment of JSC Odesagas under Track 2</t>
  </si>
  <si>
    <t>Waste heaps dismantling by Temp LTD-A in Ukraine.</t>
  </si>
  <si>
    <t>RU1000300</t>
  </si>
  <si>
    <t>JI0660</t>
  </si>
  <si>
    <t>JI0661</t>
  </si>
  <si>
    <t>JI0662</t>
  </si>
  <si>
    <t>JI0663</t>
  </si>
  <si>
    <t>JI0664</t>
  </si>
  <si>
    <t>Netherlands (Global carbon BV)</t>
  </si>
  <si>
    <t>Finland (GreenStream Network Plc)</t>
  </si>
  <si>
    <t>GreenStream Network Plc</t>
  </si>
  <si>
    <t>Reconstruction of water supply and drainage system Luganskvoda Ltd. under Track 2</t>
  </si>
  <si>
    <t>AM20 extended</t>
  </si>
  <si>
    <t>JI0666</t>
  </si>
  <si>
    <t>JI0667</t>
  </si>
  <si>
    <t>Saxony-Anhalt</t>
  </si>
  <si>
    <t>Catalytic reduction of nitrous oxide emissions (N2O) from the nitric acid plant of SKW Stickstoffwerke Piesteritz GmbH</t>
  </si>
  <si>
    <t xml:space="preserve">German Pellets Solutions Fuel-Switch Programme </t>
  </si>
  <si>
    <t>JIPoA0012</t>
  </si>
  <si>
    <t>JIPoA0012.1</t>
  </si>
  <si>
    <t>German Pellets Solutions Fuel-Switch Programme: JPA-1</t>
  </si>
  <si>
    <t>German Pellets</t>
  </si>
  <si>
    <t>Belgium (YARA International ASA)</t>
  </si>
  <si>
    <t>Reconstruction and modernization of main-line electrical grids of NPC “Ukrenergo” under Track 2</t>
  </si>
  <si>
    <t xml:space="preserve">Rehabilitation of the District Heating System in Donetsk City under Track 2
</t>
  </si>
  <si>
    <t>Implementation of energy efficiency measures at PC «Donetsk Railway»</t>
  </si>
  <si>
    <t>Donetsk Railway, Vema</t>
  </si>
  <si>
    <t>More efficient train system</t>
  </si>
  <si>
    <t>Nelson Landfill Gas Utilisation Project</t>
  </si>
  <si>
    <t>JI0668</t>
  </si>
  <si>
    <t>JI0669</t>
  </si>
  <si>
    <t>JI0670</t>
  </si>
  <si>
    <t>JI0671</t>
  </si>
  <si>
    <t>Implementation of the energy efficiency measures at SE «Prindniprovsk Railway»</t>
  </si>
  <si>
    <t>Dnipropetrovsk &amp; Zaporizhzhya &amp; Kharkiv &amp; Kherson</t>
  </si>
  <si>
    <t>Prindniprovsk Railway,Prindniprovsk Railway Vema</t>
  </si>
  <si>
    <t>IMPLEMENTATION OF RESOURCE AND ENERGY SAVING MEASURES IN THE SUBSIDIARY “UKRTRANSGAS” OF NATIONAL JOINT STOCK COMPANY "NAFTOGAZ OF UKRAINE" (under Track 2)</t>
  </si>
  <si>
    <t>Implementation of energy efficiency measures at OPEN JOINT STOCK COMPANY "INTERPIPE NIZHNEDNEPROVSKY TUBE ROLLING PLANT, Ukraine"</t>
  </si>
  <si>
    <t>Wind Park Ochakovskiy</t>
  </si>
  <si>
    <t>IMPLEMENTATION OF ENERGY EFFICIENCY MEASURES AT OPEN JOINT STOCK COMPANY “INTERPIPE NOVOMOSKOVSK PIPE PRODUCTION PLANT”, UKRAINE</t>
  </si>
  <si>
    <t>Waste heaps processing in Rostov region of Russia with the aim of decreasing the greenhouse gases emissions into the atmosphere</t>
  </si>
  <si>
    <t>Cogeneration and Utilization of Waste Heat at LLC "Lukoil Energy and Gas Ukraine"</t>
  </si>
  <si>
    <t>JI0672</t>
  </si>
  <si>
    <t>JI0673</t>
  </si>
  <si>
    <t>JI0674</t>
  </si>
  <si>
    <t>JI0675</t>
  </si>
  <si>
    <t>JI0676</t>
  </si>
  <si>
    <t>JI0677</t>
  </si>
  <si>
    <t>JI0678</t>
  </si>
  <si>
    <t>Energy Efficiency Rehabilitation measures with construction of the coke oven battery #5 at JSC “Altai-Koks”, Zarinsk, Russia</t>
  </si>
  <si>
    <t>Reduction of methane emissions on the gas equipment of gas-distributing points and on the gas armature of gas-distributing networks of CJSC “Theodosia” under Track 2</t>
  </si>
  <si>
    <t>JI0679</t>
  </si>
  <si>
    <t>JI0680</t>
  </si>
  <si>
    <t>Reduction of methane emissions on the gas equipment of gas-distributing points and on the gas armature of gas-distributing networks of PJSC «Mariupolgaz» under Track 2</t>
  </si>
  <si>
    <t>JI0681</t>
  </si>
  <si>
    <t>Multiple locations</t>
  </si>
  <si>
    <t>SIA “Vidzeme Eko”</t>
  </si>
  <si>
    <t xml:space="preserve">ACM2+JI Specific Approach </t>
  </si>
  <si>
    <t>RWE Power Aktiengesellschaft</t>
  </si>
  <si>
    <t>Germany (RWE Power Aktiengesellschaft)</t>
  </si>
  <si>
    <t>Metal products</t>
  </si>
  <si>
    <t>Dnipopetrovsk</t>
  </si>
  <si>
    <t>JSC “RITEK”</t>
  </si>
  <si>
    <t>Donetskmiskteplomerezha, Vema</t>
  </si>
  <si>
    <t>Implementation of energy efficient measures at "Donetsksteel" – metallurgical plant</t>
  </si>
  <si>
    <t>Track change</t>
  </si>
  <si>
    <t>Before Tr2, ref=150</t>
  </si>
  <si>
    <t>Rehabilitation of the District Heating System in Kharkiv City</t>
  </si>
  <si>
    <t>Before Tr2, ref=7</t>
  </si>
  <si>
    <t>Rehabilitation of the District Heating System in Donetsk Region</t>
  </si>
  <si>
    <t>Before Tr2, ref=146</t>
  </si>
  <si>
    <t>Before Tr2, ref=201</t>
  </si>
  <si>
    <t>Before Tr2, ref=109</t>
  </si>
  <si>
    <t xml:space="preserve">Implementation of energy efficiency projects at OJSC “Novolipetsk Steel”, Lipetsk area, Russia </t>
  </si>
  <si>
    <t>Before Tr2, ref=233</t>
  </si>
  <si>
    <t>Before Tr2, ref=115</t>
  </si>
  <si>
    <t>Before Tr2, ref=202</t>
  </si>
  <si>
    <t>Before Tr2, ref=193</t>
  </si>
  <si>
    <t>Before Tr2, ref=160</t>
  </si>
  <si>
    <t>Before Tr2, ref=108</t>
  </si>
  <si>
    <t>EcoSecurities, WB-CF</t>
  </si>
  <si>
    <t>Before Tr2, ref=55 (withdrawn)</t>
  </si>
  <si>
    <t>Before Tr2, ref=204</t>
  </si>
  <si>
    <t>Before Tr2, ref=134</t>
  </si>
  <si>
    <t>Before Tr2, ref=228</t>
  </si>
  <si>
    <t>Before Tr2, ref=47</t>
  </si>
  <si>
    <t>Before Tr2, ref=116 (Withdrawn)</t>
  </si>
  <si>
    <t>Before Tr2, ref=97 (Withdrawn)</t>
  </si>
  <si>
    <t>Resubmitted as Ref=162</t>
  </si>
  <si>
    <t>Same as rejected Ref=40</t>
  </si>
  <si>
    <t xml:space="preserve">Revamping and Modernization of the Alchevsk Steel Mill </t>
  </si>
  <si>
    <t>Before Tr2, ref=149 (Withdrawn)</t>
  </si>
  <si>
    <t>Before Tr2, ref=31 (Withdrawn)</t>
  </si>
  <si>
    <t>Before Tr2, ref=184 (Withdrawn)</t>
  </si>
  <si>
    <t>Before Tr2, ref=158</t>
  </si>
  <si>
    <t>Meridian Energy</t>
  </si>
  <si>
    <t>Marlborough</t>
  </si>
  <si>
    <t>Landfill gas replaces steam at hospital</t>
  </si>
  <si>
    <t>Becker Büttner Held,Stephanie Artymiak, Alexander Handke</t>
  </si>
  <si>
    <t>Implementation of energy-efficient lighting system in the Donetsk Region with the use of Kyoto Protocol mechanism: replacement of incandescent lamps with energy-efficient ones at budget financed and social entities in the Yenakiive town (under Track 2)</t>
  </si>
  <si>
    <t>Implementation of energy-efficient lighting system in the Donetsk Region with the use of Kyoto Protocol mechanism: replacement of incandescent lamps with energy-efficient ones at budget financed and social entities in the Slovyansk town (under Track 2)</t>
  </si>
  <si>
    <t>Implementation of energy-efficient lighting system in the Donetsk Region with the use of Kyoto Protocol mechanism: replacement of incandescent lamps with energy-efficient ones at budget financed and social entities in the Torez town (under Track 2)</t>
  </si>
  <si>
    <t>Implementation of energy-efficient lighting system in the Donetsk Region with the use of Kyoto Protocol mechanism: replacement of incandescent lamps with energy-efficient ones at budget financed and social entities in the Kramatorsk town (under Track 2)</t>
  </si>
  <si>
    <t>Implementation of energy-efficient lighting system in the Donetsk Region with the use of Kyoto Protocol mechanism: replacement of incandescent lamps with energy-efficient ones at budget financed and social entities in the Artemivsk town (under Track 2)</t>
  </si>
  <si>
    <t>Implementation of energy-efficient lighting system in the Donetsk Region with the use of Kyoto Protocol mechanism: replacement of incandescent lamps with energy-efficient ones at budget financed and social entities in the Gorlivka town (under Track 2)</t>
  </si>
  <si>
    <t>Lighting in service</t>
  </si>
  <si>
    <t>AMS-II.J.</t>
  </si>
  <si>
    <t>JI0682</t>
  </si>
  <si>
    <t>JI0683</t>
  </si>
  <si>
    <t>JI0684</t>
  </si>
  <si>
    <t>JI0685</t>
  </si>
  <si>
    <t>JI0686</t>
  </si>
  <si>
    <t>JI0687</t>
  </si>
  <si>
    <t>means registered</t>
  </si>
  <si>
    <t>means rejected/withdrawn/validation stopped</t>
  </si>
  <si>
    <t>means has requested registration</t>
  </si>
  <si>
    <t>Switzerland (Noble Resources)</t>
  </si>
  <si>
    <t>Reduction of methane emissions on the gas equipment of gas distribution plants, gas armature, flanged and threaded connections of gas distribution networks of PJSC "Vinnitsagaz" under Track 2</t>
  </si>
  <si>
    <t>Kaisiadorys wind power park</t>
  </si>
  <si>
    <t>JI0688</t>
  </si>
  <si>
    <t>JI0689</t>
  </si>
  <si>
    <t>Vildara</t>
  </si>
  <si>
    <t>kCERS Bought by Denmark</t>
  </si>
  <si>
    <t>Kemin Navn, NEAS Navn</t>
  </si>
  <si>
    <t>Pleven</t>
  </si>
  <si>
    <t>Lovochemie</t>
  </si>
  <si>
    <t>Lubna</t>
  </si>
  <si>
    <t>Poldanor</t>
  </si>
  <si>
    <t>Zagorze</t>
  </si>
  <si>
    <t>Zakopane</t>
  </si>
  <si>
    <t>Mazurski</t>
  </si>
  <si>
    <t>Geothermia</t>
  </si>
  <si>
    <t>Iasi II</t>
  </si>
  <si>
    <t>Oradea &amp; Beirus</t>
  </si>
  <si>
    <t>Turnu-Severin</t>
  </si>
  <si>
    <t>Odesagas</t>
  </si>
  <si>
    <t>Kryvyi Rih Cement</t>
  </si>
  <si>
    <t>Agropolychim (part 1)</t>
  </si>
  <si>
    <t>Agropolychim (part 2)</t>
  </si>
  <si>
    <t>NEFCO: Kharampur Associated Gas</t>
  </si>
  <si>
    <t>NEFCO: Estonia, Vanakula</t>
  </si>
  <si>
    <t>NEFCO: Estonia, Saarema</t>
  </si>
  <si>
    <t>NEFCO: Estonia, Viru Nigula</t>
  </si>
  <si>
    <t>NEFCO: Lithuania, Lapes</t>
  </si>
  <si>
    <t>NEFCO: Lithuania, Benaiciai</t>
  </si>
  <si>
    <t>NEFCO: Russia, Kirov</t>
  </si>
  <si>
    <t>NEFCO: Russia, Belokurikha district heating</t>
  </si>
  <si>
    <t>NEFCO: Russia, Khimprom</t>
  </si>
  <si>
    <t>NEFCO: Russia, Priozersk</t>
  </si>
  <si>
    <t>UA1000301</t>
  </si>
  <si>
    <t>Construction of gas engine cogeneration plant for Cocа-Cola Beverages Ukraine Ltd.</t>
  </si>
  <si>
    <t>Before Tr2, ref=38</t>
  </si>
  <si>
    <t>Before Tr2, ref=65</t>
  </si>
  <si>
    <t>Greenhouse gas emission reductions by gasification of Mariupol city and the territories of Donetsk region adherent to the city</t>
  </si>
  <si>
    <t>JI0690</t>
  </si>
  <si>
    <t>JI0691</t>
  </si>
  <si>
    <t>Development and upgrade of district water supply and disposal system in Zaporizhzhia city under Track 2</t>
  </si>
  <si>
    <t>Vodokanal</t>
  </si>
  <si>
    <t>Q1-12</t>
  </si>
  <si>
    <t>Q2-12</t>
  </si>
  <si>
    <t>Q3-12</t>
  </si>
  <si>
    <t>Q4-12</t>
  </si>
  <si>
    <t>JI0692</t>
  </si>
  <si>
    <t>JI0693</t>
  </si>
  <si>
    <t>Usage of Alternative Raw Materials at Kryvyi Rih Cement, Ukraine (under Track 1)</t>
  </si>
  <si>
    <t>Before Tr2, ref=194</t>
  </si>
  <si>
    <t>Denmark (Danish Ministry of Climate &amp; Energy), Germany (HeidelbergCement), Netherlands (Global carbon BV)</t>
  </si>
  <si>
    <t>Before Tr2, ref=75 (Withdrawn)</t>
  </si>
  <si>
    <t xml:space="preserve">Yuzhno Balyksky associated gas recovery project </t>
  </si>
  <si>
    <t>Before Tr2, ref=39</t>
  </si>
  <si>
    <t>Before Tr2, ref=141 (withdrawn)</t>
  </si>
  <si>
    <t>Before Tr2, ref=36 (withdrawn)</t>
  </si>
  <si>
    <t>No. 6 of 23/07/10</t>
  </si>
  <si>
    <t>United K. (JP Morgan)</t>
  </si>
  <si>
    <t>JP Morgan</t>
  </si>
  <si>
    <t>JI0694</t>
  </si>
  <si>
    <t>Photovoltaic Solar Power Plant "Omao Solar"</t>
  </si>
  <si>
    <t>Implementation of Energy Saving Equipment and Technologies at the State Enterprise “Production Association Yuzhny Machine-Building Plant named after A. Makarov”, under Track 2</t>
  </si>
  <si>
    <t>Solar PV</t>
  </si>
  <si>
    <t>Finland (GreenStream Network)</t>
  </si>
  <si>
    <t>JI0695</t>
  </si>
  <si>
    <t>Rehabilitation of the District Heating Systems in Dnipropetrovsk Region, under Track 2</t>
  </si>
  <si>
    <t>Landfill gas capture and utilization at Chernihiv MSW landfill</t>
  </si>
  <si>
    <t>JI0696</t>
  </si>
  <si>
    <t>JI0697</t>
  </si>
  <si>
    <t>JI0698</t>
  </si>
  <si>
    <t>JI0699</t>
  </si>
  <si>
    <t>District Heating System Rehabilitation in Rivne Region, under Track 2</t>
  </si>
  <si>
    <t>Rehabilitation of the District Heating System of Zaporizhzhia City under Track 2</t>
  </si>
  <si>
    <t>Khmelnytskyi</t>
  </si>
  <si>
    <t>JI0700</t>
  </si>
  <si>
    <t>District Heating System Rehabilitation of Chernihiv Region, under Track 2</t>
  </si>
  <si>
    <t>RU1000304</t>
  </si>
  <si>
    <t>DE1000305</t>
  </si>
  <si>
    <t xml:space="preserve">NZ1000303 </t>
  </si>
  <si>
    <t>EC Chernivtsioblenergo PJSC power distribution system modernization</t>
  </si>
  <si>
    <t>JI0701</t>
  </si>
  <si>
    <t>Poland (IMEX ENERGO)</t>
  </si>
  <si>
    <t>Chernivetska</t>
  </si>
  <si>
    <t>Ekologichni Energetychni Systemy</t>
  </si>
  <si>
    <t>JI0702</t>
  </si>
  <si>
    <t>JI0703</t>
  </si>
  <si>
    <t xml:space="preserve">Implementation of Complex Technical and Technological Modernization of Enterprise to Reduce Energy Consumption and Implementation of Recycling Organic Waste from Beer Production at DE PJSC "Obolon" "Zibert’s Brewery" </t>
  </si>
  <si>
    <t>Netherlands (Ohana LLP)</t>
  </si>
  <si>
    <t>MT-Invest</t>
  </si>
  <si>
    <t xml:space="preserve">Implementation of Resource and Energy Saving Measures in the Subsidiary "Ukrtransgas" of National Joint Stock Company "Naftogaz of Ukraine" </t>
  </si>
  <si>
    <t>Latvia (Vidzeme Eko)</t>
  </si>
  <si>
    <t>Vidzeme Eko</t>
  </si>
  <si>
    <t>France (BNP Paribas)</t>
  </si>
  <si>
    <t>United K. (Gazprom)</t>
  </si>
  <si>
    <t>Switzerland (LITASCO)</t>
  </si>
  <si>
    <t>Collection and Utilization of Methane from Solid Domestic Waste Ground in Luhansk City</t>
  </si>
  <si>
    <t>Construction of the Frolovsky Electric Steelmaking Plant" in Frolovo, Volgograd region, Russia"</t>
  </si>
  <si>
    <t>Introduction of Energy Efficiency Measures at PJSC “Ilyich Iron and Steel Works of Mariupol”</t>
  </si>
  <si>
    <t>Reduction of Process Losses in Power Lines Zaporizzhyaoblenergo JSC</t>
  </si>
  <si>
    <t>Reduction of Process Losses in Power Lines Zakarpattyaoblenergo PJSC</t>
  </si>
  <si>
    <t>Zaporizzhya</t>
  </si>
  <si>
    <t>JI0704</t>
  </si>
  <si>
    <t>JI0705</t>
  </si>
  <si>
    <t>JI0706</t>
  </si>
  <si>
    <t>JI0707</t>
  </si>
  <si>
    <t>JI0708</t>
  </si>
  <si>
    <t>Zakarpattya</t>
  </si>
  <si>
    <t>Vinnytsya</t>
  </si>
  <si>
    <t>JI0709</t>
  </si>
  <si>
    <t>Energy Efficiency Rehabilitation measures with construction of the coke oven batteries #1 and 2 at OJSC  Gubakhinskiy-Koks”, Gubaha, Russia</t>
  </si>
  <si>
    <t>JI0710</t>
  </si>
  <si>
    <t xml:space="preserve">Increase in efficiency of water resources use at Bratsk HPP, Irkutsk region, Russian Federation </t>
  </si>
  <si>
    <t>Irkutskenergo</t>
  </si>
  <si>
    <t>No. 11 of 23/07/10</t>
  </si>
  <si>
    <t>Japan (Asuka Green Investment, Itouchu, Marubeni, Mitsui, Sojitz, Sumitumo)</t>
  </si>
  <si>
    <t>Before Tr2, ref=85</t>
  </si>
  <si>
    <t>Before Tr2, ref=91</t>
  </si>
  <si>
    <t>N2O emissions reduction project at Zakłady Azotowe Anwil S.A.</t>
  </si>
  <si>
    <t>N2O abatement project at nitric acid plant of Zakłady Azotowe in Tarnów Mościce</t>
  </si>
  <si>
    <t>Landfill gas recovery on the Radiowo landfill in Warsaw, Poland</t>
  </si>
  <si>
    <t xml:space="preserve">United K. (BNP Paribas+BASF), Japan (Rhodia), France (Orbeo) </t>
  </si>
  <si>
    <t>Zakłady Azotowe “Puławy”, BASF, FutureCamp GmbH</t>
  </si>
  <si>
    <t>Greenhouse gas emission reduction due to modernization and technical re-equipment of municipal enterprises of Kharkiv region"</t>
  </si>
  <si>
    <t>JI0711</t>
  </si>
  <si>
    <t>JI0712</t>
  </si>
  <si>
    <t xml:space="preserve">Biomass Steam Boiler at Vinprom Peshtera </t>
  </si>
  <si>
    <t>Uses straw</t>
  </si>
  <si>
    <t>Japan (Marubeni), Spain, Luxembourg, European firms</t>
  </si>
  <si>
    <t>Netherlands (Stichting carbon Finance)</t>
  </si>
  <si>
    <t>YARA Köping S2 N2O abatement project in Sweden</t>
  </si>
  <si>
    <t>JI0713</t>
  </si>
  <si>
    <t xml:space="preserve">Bikin Tiger Carbon Project - Permanent protection of otherwise logged Bikin Forest, in Primorye Russia
</t>
  </si>
  <si>
    <t>Primorsky</t>
  </si>
  <si>
    <t>1,2,4-5,9-10, 13</t>
  </si>
  <si>
    <t>PJRCES</t>
  </si>
  <si>
    <t>CCSC</t>
  </si>
  <si>
    <t xml:space="preserve"> 1-14</t>
  </si>
  <si>
    <t xml:space="preserve"> 1-4,13</t>
  </si>
  <si>
    <t>Withdrawn EB62</t>
  </si>
  <si>
    <t>JI0714</t>
  </si>
  <si>
    <t>Landfill Gas Recovery in the Slovak Republic</t>
  </si>
  <si>
    <t>AMS-III.G.</t>
  </si>
  <si>
    <t>Joint Implementation Network</t>
  </si>
  <si>
    <t>JI0715</t>
  </si>
  <si>
    <t>JI0716</t>
  </si>
  <si>
    <t>Reduction of CO2 emissions by systematic utilization of No-till technologies in agricultural industry</t>
  </si>
  <si>
    <t>Installation of Combined Cycle Gas Turbine at Yugo-Zapadnaya CHP in Saint-Petersburg, Russia</t>
  </si>
  <si>
    <t>Saint-Petersburg</t>
  </si>
  <si>
    <t>No tillage</t>
  </si>
  <si>
    <t>United K. (EVO CARBON)</t>
  </si>
  <si>
    <t>Beta-Agro-Invest, EVO CARBON</t>
  </si>
  <si>
    <t>RU1000306</t>
  </si>
  <si>
    <t>JIPoA0013</t>
  </si>
  <si>
    <t>JIPoA0013.1</t>
  </si>
  <si>
    <t>BSH Transportation Shift Project</t>
  </si>
  <si>
    <t>Mode shift: Road to rail</t>
  </si>
  <si>
    <t>BSH Bosch und Siemens Hausgeräte GmbH</t>
  </si>
  <si>
    <t>JPA1 R1.1 (defined by route Gingen/Brenz to Hamburg/Norderstedt)</t>
  </si>
  <si>
    <t>Before Tr2, ref=106 (Withdrawn), and ref=45 (withdrawn)</t>
  </si>
  <si>
    <t>Before Tr2, ref=126 (Withdrawn), and Ref=161 (Withdrawn)</t>
  </si>
  <si>
    <t>JI0717</t>
  </si>
  <si>
    <t>JI0718</t>
  </si>
  <si>
    <t>JI0719</t>
  </si>
  <si>
    <t>JI0720</t>
  </si>
  <si>
    <t>JI0721</t>
  </si>
  <si>
    <t>JI0722</t>
  </si>
  <si>
    <t>JI0723</t>
  </si>
  <si>
    <t xml:space="preserve">Technical Upgrade of OJSC Dniprovsky Integrated Iron and Steel Works named after Dzerzhynsky by Installation of Two Billet Continuous Casting Machines and Two Ladle Furnaces, under Track 2 </t>
  </si>
  <si>
    <t>Revamping of sintering and blast-furnace production at OJSC «Dniprovsky Integrated Iron and Steel Works named after Dzerzhynsky», under Track 2</t>
  </si>
  <si>
    <t>Revamping of sintering and blast-furnace production at OJSC «Alchevsk Iron and Steel Works», under Track 2</t>
  </si>
  <si>
    <t>Fuel switch at Slavyansk Salt-Mining Company LLC, Ukraine</t>
  </si>
  <si>
    <t xml:space="preserve">Reconstruction of the agglomerate and blast-furnace production at the JSC «Zaporizhstal» under Track 2 </t>
  </si>
  <si>
    <t>Carbon-mt</t>
  </si>
  <si>
    <t xml:space="preserve">New dry cement line construction at CJSC “CMC Sterlitamak”, Republic of Bashkortostan, Sterlitamak city, Russia </t>
  </si>
  <si>
    <t>Japan (Sumitomo), Spain (Endesa), Netherlands (Stichting Carbon Finance+Deutsche Bank)</t>
  </si>
  <si>
    <t>Spain (Endesa)</t>
  </si>
  <si>
    <t>Japan (Sumitomo), Spain (Endesa), Netherlands (Stichting Carbon Finance+Deutsche Bank), United k. (CF Partners)</t>
  </si>
  <si>
    <t>Pellets of sunflower husks and sawdust + EE</t>
  </si>
  <si>
    <t>JI0724</t>
  </si>
  <si>
    <t xml:space="preserve">Construction of gas turbine power plants for utilization of associated petroleum gas at thirteen oilfields developed by OJSC “Surgutneftegas” in Khanty-Mansiysk Autonomous Okrug, Russian Federation </t>
  </si>
  <si>
    <t>16 gas turbine power plants (hereinafter GTPP) near oilfields developed by OJSC “Surgutneftegas”</t>
  </si>
  <si>
    <t>Gazprom</t>
  </si>
  <si>
    <t>Netherlands (Carbon Futures)</t>
  </si>
  <si>
    <t>replacement of 33256 100 W and 156 150 W ICLs with 20 W and 32 W CFLs</t>
  </si>
  <si>
    <t>UA1000307</t>
  </si>
  <si>
    <t>JI0725</t>
  </si>
  <si>
    <t>JI0728</t>
  </si>
  <si>
    <t>JI0729</t>
  </si>
  <si>
    <t xml:space="preserve">Utilization of Coal Mine Methane in Szczyglowice Coal Mine,Poland </t>
  </si>
  <si>
    <t>Silesian</t>
  </si>
  <si>
    <t>Chugoku Electric</t>
  </si>
  <si>
    <t xml:space="preserve">Implementation of modern technologies of sinter production and blast furnaces charging at OJSC MMK </t>
  </si>
  <si>
    <t>Carbon Trade &amp; Finance Consulting</t>
  </si>
  <si>
    <t xml:space="preserve">Production of continuously casted slab steel billet by arc-furnace technique at OJSC MMK </t>
  </si>
  <si>
    <t>Netherlands (Carbon Trade &amp; Finance Consulting)</t>
  </si>
  <si>
    <t>JI0730</t>
  </si>
  <si>
    <t xml:space="preserve">SF6 destruction at JSC “HaloPolymer Perm” </t>
  </si>
  <si>
    <t>SF6</t>
  </si>
  <si>
    <t>OJSC “HaloPolymer”.</t>
  </si>
  <si>
    <t xml:space="preserve">The utilization of associated petroleum gas (APG) of the Sugmut oilfield JSC “Gazpromneft - Noyabrskneftegaz” taking into account the effective use of APG of the Romanovo oilfield </t>
  </si>
  <si>
    <t>The utilization of associated petroleum gas of the Yarayner oilfield of JSC “Gazpromneft-Noyabrskneftegaz"</t>
  </si>
  <si>
    <t xml:space="preserve">Utilization of Coal Mine Methane in Sosnica Coal Mine, Poland </t>
  </si>
  <si>
    <t>JI0731</t>
  </si>
  <si>
    <t>Novgorod</t>
  </si>
  <si>
    <t xml:space="preserve">Construction and implementation of the Casting and Rolling Complex for the production of hot rolled flat products in the Vyksa District, the Nizhny Novgorod Region, the Russian Federation </t>
  </si>
  <si>
    <t>Fuel switch at the Arkhangelskaya and Severodvinskaya combined heat-and-power plants of the JSC Territorial Generation Company # 2, Russian Federation</t>
  </si>
  <si>
    <t>JI0732</t>
  </si>
  <si>
    <t>JI0733</t>
  </si>
  <si>
    <t>JI0734</t>
  </si>
  <si>
    <t>JI0735</t>
  </si>
  <si>
    <t>JI0737</t>
  </si>
  <si>
    <t>JI0739</t>
  </si>
  <si>
    <t xml:space="preserve">Reconstruction of the Nevsky branch Hydro Power Plants </t>
  </si>
  <si>
    <t>Finland (Fortum)</t>
  </si>
  <si>
    <t>No. 10 of 30/12/10</t>
  </si>
  <si>
    <t>BE1000314</t>
  </si>
  <si>
    <t>YARA Tertre Uhde 2 abatement project in Belgium</t>
  </si>
  <si>
    <t>YARA Tertre Uhde 3 abatement project in Belgium</t>
  </si>
  <si>
    <t>Hainaut</t>
  </si>
  <si>
    <t>France (N.Serve)</t>
  </si>
  <si>
    <t>BE1000315</t>
  </si>
  <si>
    <t xml:space="preserve">Associated petroleum gas recovery at Priobskoe oil field of Rosneft </t>
  </si>
  <si>
    <t>Before Tr2, ref=260</t>
  </si>
  <si>
    <t>DCF: Russia Rosnefty gas recovery. Denmark not a buyer now</t>
  </si>
  <si>
    <t xml:space="preserve">Associated petroleum gas flaring reduction and electricity generation at the Khasyrey oil field </t>
  </si>
  <si>
    <t>Before Tr2, ref=171</t>
  </si>
  <si>
    <t>CTF Consulting, National Carbon Sequestration Foundation</t>
  </si>
  <si>
    <t xml:space="preserve">The implementation of energy efficiency measures at Chelyabinsk Electrometallurgical Works, OJSC </t>
  </si>
  <si>
    <t xml:space="preserve">Non-ferrous metals </t>
  </si>
  <si>
    <t xml:space="preserve">CMM utilisation on the Pniowek Coal Mine in Upper Silesian Basin, Poland </t>
  </si>
  <si>
    <t>Before Tr2, ref=224</t>
  </si>
  <si>
    <t xml:space="preserve">Dismantling of Waste Heap at Former Mine "Rozsypnyanska-1" </t>
  </si>
  <si>
    <t>Vidzeme EKO</t>
  </si>
  <si>
    <t>UA1000317</t>
  </si>
  <si>
    <t xml:space="preserve">Khmelnytskoblenergo PJSC Power Distribution System Modernization </t>
  </si>
  <si>
    <t>UA1000316</t>
  </si>
  <si>
    <t>Before Tr2, ref=299</t>
  </si>
  <si>
    <t xml:space="preserve">Reduction of Process Losses in Power Lines Vinnytsyaoblenergo PJSC </t>
  </si>
  <si>
    <t>Before Tr2, ref=308</t>
  </si>
  <si>
    <t xml:space="preserve">Modernization of OJSC “Solombala PPM” energy-generating facilities to reduce fossil fuel consumption, Arkhangelsk, Russian Federation» </t>
  </si>
  <si>
    <t>Switzerland (Mercuria Energy Trading)</t>
  </si>
  <si>
    <t>Netherlands (Ecocom)</t>
  </si>
  <si>
    <t>JI0738</t>
  </si>
  <si>
    <t>JI0740</t>
  </si>
  <si>
    <t>Implementation of energy saving measures at PRJSC LINIK, Ukraine</t>
  </si>
  <si>
    <t>RU1000318</t>
  </si>
  <si>
    <t>RU1000319</t>
  </si>
  <si>
    <t>PL1000320</t>
  </si>
  <si>
    <t>UA1000321</t>
  </si>
  <si>
    <t>JI0741</t>
  </si>
  <si>
    <t>Before Tr2, ref=197</t>
  </si>
  <si>
    <t>Reduction of Methane Emissions on the Gas Equipment of Gas Distribution Points, Gas Armature, Flanged and Threaded Joints of Gas Distribution Networks of PJSC "Poltavagaz"</t>
  </si>
  <si>
    <t>JI Specific Approach based on AM23</t>
  </si>
  <si>
    <t>Moston Properties, PJSC “Poltavagaz”</t>
  </si>
  <si>
    <t>Before Tr2, ref=304</t>
  </si>
  <si>
    <t xml:space="preserve">Technical re-equipment of Tyumen‘ CHPP-1 with putting into operation of a combined-cycle gas plant </t>
  </si>
  <si>
    <t>RU1000302</t>
  </si>
  <si>
    <t xml:space="preserve">Utilisation of CMM on coal mines of OAO “SUEK-Kuzbass” </t>
  </si>
  <si>
    <t>Kemerovo</t>
  </si>
  <si>
    <t>JI0665</t>
  </si>
  <si>
    <t>No. 9 of 23/07/10</t>
  </si>
  <si>
    <t>RU1000309</t>
  </si>
  <si>
    <t>RU1000310</t>
  </si>
  <si>
    <t>RU1000311</t>
  </si>
  <si>
    <t>No. 9 of 30/12/10</t>
  </si>
  <si>
    <t>RU1000322</t>
  </si>
  <si>
    <t>PL1000328</t>
  </si>
  <si>
    <t>RU1000324</t>
  </si>
  <si>
    <t>RU1000323</t>
  </si>
  <si>
    <t>RU1000325</t>
  </si>
  <si>
    <t>JI0742</t>
  </si>
  <si>
    <t>JI0743</t>
  </si>
  <si>
    <t>JI0744</t>
  </si>
  <si>
    <t>JI0745</t>
  </si>
  <si>
    <t>JI0747</t>
  </si>
  <si>
    <t>UA1000327</t>
  </si>
  <si>
    <t>Waste Heap Dismantling in Luhansk Region of Ukraine with the Aim of Reduction
Greenhouse Gases Emissions to Atmosphere</t>
  </si>
  <si>
    <t>Carbon Capital Services</t>
  </si>
  <si>
    <t>UA1000329</t>
  </si>
  <si>
    <t xml:space="preserve">Dismantling of Waste Heap #2 at Mine #22 "LISOVA" </t>
  </si>
  <si>
    <t>UA1000330</t>
  </si>
  <si>
    <t>Methane Leaks Reduction and Implementation of Energy Efficiency Measures at Technological Equipment of Public Joint Stock Company “National Joint Stock Company “Chornomornaftogaz”</t>
  </si>
  <si>
    <t>UA1000331</t>
  </si>
  <si>
    <t>Development and Improvement of Water Supply System, Drainage System and Wastewater Treatment of City Communal Enterprise “Mykolayivvodokanal”</t>
  </si>
  <si>
    <t xml:space="preserve">Reconstruction of Pervomayskaia CHP -14 with installation of combined cycle units </t>
  </si>
  <si>
    <t>Utilization of associated petroleum gas from the Verkhnekamsk oil fields, «Permneftegazpererabotka» LLC, Perm, Russian Federation</t>
  </si>
  <si>
    <t>Before Tr2, ref=223</t>
  </si>
  <si>
    <t xml:space="preserve">BOS Boiler Modernisation Programme from Bank Ochrony Srodowiska S.A. (BOS Bank) </t>
  </si>
  <si>
    <t>Bank Ochrony Srodowiska S.A (BOŚ Bank)</t>
  </si>
  <si>
    <t>Germany (KfW)</t>
  </si>
  <si>
    <t xml:space="preserve">BOS Energy Efficiency Programme in buildings from Bank Ochrony Srodowiska S.A. (BOŚ Bank) </t>
  </si>
  <si>
    <t>Lighting &amp; Insulation &amp; Solar</t>
  </si>
  <si>
    <t>No information</t>
  </si>
  <si>
    <t>JIPoA0014</t>
  </si>
  <si>
    <t>JIPoA0014.1</t>
  </si>
  <si>
    <t>JIPoA0015</t>
  </si>
  <si>
    <t>JIPoA0015.1</t>
  </si>
  <si>
    <t>Before Tr2, ref=237</t>
  </si>
  <si>
    <t>RU1000332</t>
  </si>
  <si>
    <t>Ciuteliai wind power joint implementation project</t>
  </si>
  <si>
    <t>JI0749</t>
  </si>
  <si>
    <t>UAB 4energia, Nelja Energia OÜ, LHCarbon OÜ</t>
  </si>
  <si>
    <t>RU1000334</t>
  </si>
  <si>
    <t>RU1000335</t>
  </si>
  <si>
    <t>RU1000336</t>
  </si>
  <si>
    <t>RU1000338</t>
  </si>
  <si>
    <t>RU1000343</t>
  </si>
  <si>
    <t>UA1000341</t>
  </si>
  <si>
    <t>UA1000342</t>
  </si>
  <si>
    <t>RU1000339</t>
  </si>
  <si>
    <t>Before Tr2, ref=247</t>
  </si>
  <si>
    <t>Installation of three gas turbine SGT-800 type at GTES “Kolomenskoe”, Moscow, Russian Federation</t>
  </si>
  <si>
    <t>Before Tr2, ref=249</t>
  </si>
  <si>
    <t>Building of two new combined gas and steam turbine units on Nyagan TPP</t>
  </si>
  <si>
    <t>Before Tr2, ref=303</t>
  </si>
  <si>
    <t>Switzerland (Carbon Management Company)</t>
  </si>
  <si>
    <t>Before Tr2, ref=305</t>
  </si>
  <si>
    <t>Before Tr2, ref=243</t>
  </si>
  <si>
    <t>RU1000340</t>
  </si>
  <si>
    <t>Before Tr2, ref=234</t>
  </si>
  <si>
    <t>RU1000344</t>
  </si>
  <si>
    <t>RU1000345</t>
  </si>
  <si>
    <t>New natural gas plant</t>
  </si>
  <si>
    <t>JIPoA0016</t>
  </si>
  <si>
    <t>JIPoA0016.1</t>
  </si>
  <si>
    <t xml:space="preserve">Compte épargne CO2 pour les foyers fiscaux et les entreprises </t>
  </si>
  <si>
    <t>SAS 450</t>
  </si>
  <si>
    <t>Individula reductions</t>
  </si>
  <si>
    <t xml:space="preserve">Programme de réduction des émissions de N2O dues à la dénitrification des sols agricoles </t>
  </si>
  <si>
    <t>JIPoA0017</t>
  </si>
  <si>
    <t>JIPoA0017.1</t>
  </si>
  <si>
    <t>N2O reduction</t>
  </si>
  <si>
    <t>INVIVO</t>
  </si>
  <si>
    <t>INVIVO, CDC Climate</t>
  </si>
  <si>
    <t xml:space="preserve">Technical re-equipment of Chelyabinsk СНPP-3 with putting into operation of a combined-cycle gas plant </t>
  </si>
  <si>
    <t>AM48</t>
  </si>
  <si>
    <t xml:space="preserve">ECF Project </t>
  </si>
  <si>
    <t>Installation of a multi-fuel boiler at CJSC “International Paper” (former Svetogorsk PPM) for waste biomass utilization and energy generation for own needs, Svetogorsk, Russia</t>
  </si>
  <si>
    <t>JIPoA0018</t>
  </si>
  <si>
    <t>JIPoA0018.1</t>
  </si>
  <si>
    <t xml:space="preserve">Réduction des émissions de méthane d’origine digestive par l’apport dans l’alimentation des vaches laitières de sources naturelles en Acide Alpha Linolénique (ALA). </t>
  </si>
  <si>
    <t>Reduced enteric fermentation</t>
  </si>
  <si>
    <t>Association Bleu-Blanc-Coeur</t>
  </si>
  <si>
    <t>UA1000346</t>
  </si>
  <si>
    <t xml:space="preserve">Conduction of the Complex Technical and Technological Modernization of an Enterprise which is Aimed at the Reduction of Energy Consumption and the Implementation of the Uutilization System of Organic Waste from Sugar Production on PJSC "Rise-Maksymko" </t>
  </si>
  <si>
    <t>Netherlands (Ohana)</t>
  </si>
  <si>
    <t>Lviv, Poltava, Rivne, Ternopil</t>
  </si>
  <si>
    <t>Before Tr2, ref=241</t>
  </si>
  <si>
    <t>JI0750</t>
  </si>
  <si>
    <t>JI0751</t>
  </si>
  <si>
    <t>JI0752</t>
  </si>
  <si>
    <t>JI0753</t>
  </si>
  <si>
    <t>Nykanor-Nova Coalmine Methane Utilization Project</t>
  </si>
  <si>
    <t>France (Eco-Carbone)</t>
  </si>
  <si>
    <t>Eco-Carbone</t>
  </si>
  <si>
    <t>Efficiency increasing measures in steelmaking process at PJSC "ArcelorMittal Kryvyi Rih", Ukraine</t>
  </si>
  <si>
    <t>Dnepropetrovsk</t>
  </si>
  <si>
    <t>RU1000347</t>
  </si>
  <si>
    <t>Before Tr2, ref=230</t>
  </si>
  <si>
    <t>RU1000349</t>
  </si>
  <si>
    <t>RU1000356</t>
  </si>
  <si>
    <t>UA1000350</t>
  </si>
  <si>
    <t>RU1000358</t>
  </si>
  <si>
    <t>UA1000348</t>
  </si>
  <si>
    <t>Before Tr2, ref=5</t>
  </si>
  <si>
    <t>RU1000351</t>
  </si>
  <si>
    <t>Reduction of PFC emissions at Irkutsk aluminium smelter</t>
  </si>
  <si>
    <t>Reduction of PFC emissions at RUSAL Bratsk aluminium smelter</t>
  </si>
  <si>
    <t>RU1000352</t>
  </si>
  <si>
    <t>RU1000353</t>
  </si>
  <si>
    <t>RU1000354</t>
  </si>
  <si>
    <t>Utilization of associated petroleum gas at the fields of Companies of TNK-BP Group, Western Siberia</t>
  </si>
  <si>
    <t>CARBONTRUST</t>
  </si>
  <si>
    <t>Gathering of associated petroleum gas at Khokhryakovskoye field</t>
  </si>
  <si>
    <t>RU1000355</t>
  </si>
  <si>
    <t>Reduction of PFC emissions at RUSAL Sayanogorsk aluminium smelter</t>
  </si>
  <si>
    <t>Khakassia</t>
  </si>
  <si>
    <t>RU1000357</t>
  </si>
  <si>
    <t>Reduction of PFC emissions at RUSAL Novokuznetsk aluminium smelter</t>
  </si>
  <si>
    <t>Bark and wood wastes to heat at OJSC “Solombala Sawmill and Woodworking Plant”, Arkhangelsk, Russian Federation</t>
  </si>
  <si>
    <t>RU1000359</t>
  </si>
  <si>
    <t>Implementation of steam-gas turbine units at the CHP of JSC “Mosenergo”, Russia</t>
  </si>
  <si>
    <t>Installation of CCGT unit at the Dzerzhinskaya HPS, Russian Federation</t>
  </si>
  <si>
    <t>Nizhny Novgorod</t>
  </si>
  <si>
    <t>Reconstruction of the metallurgical plant at the Chelyabinsk Metallurgical Plant ОАО, Chelyabinsk, Russia</t>
  </si>
  <si>
    <t>Reconstruction of the steelmaking plant at the Izhstal OAO, Izhevsk, Russia</t>
  </si>
  <si>
    <t>Udmurt</t>
  </si>
  <si>
    <t>The implementation of the combined-cycle plant at Novgorod heat and power station OJSC “TGC-2”, Russia</t>
  </si>
  <si>
    <t>Waste Biomass Utilization at JSC Arkhangelsk Pulp and Paper Mill (APPM), Arkhangelsk region, Russia</t>
  </si>
  <si>
    <t>United K. (Gazprom Marketing &amp; Trading)</t>
  </si>
  <si>
    <t>Environmental Investment Center Arkhangelsk</t>
  </si>
  <si>
    <t>UA1000360</t>
  </si>
  <si>
    <t>Waste Heap Dismantling by PE ICC “TEFIDA” with the Aim of Decreasing Greenhouse Gases Emissions into the Atmosphere</t>
  </si>
  <si>
    <t>Introduction of energy-saving measures with utilization of biomass for production of energy resources at the business units of LLC “MEZ Yug Rusi”</t>
  </si>
  <si>
    <t>Sunflower seeds</t>
  </si>
  <si>
    <t>Krasnodar &amp; Voronezh</t>
  </si>
  <si>
    <t>RU1000361</t>
  </si>
  <si>
    <t>Energy efficiency improvement under reconstruction of Oxygen shop and steel continuous casting section of Blast Oxygen Furnace shop #2 at OJSC “Novolipetsk Steel”</t>
  </si>
  <si>
    <t>RU1000364</t>
  </si>
  <si>
    <t>New dry cement line installation at OJSC “ Sukholozhskcement”, Sverdlovsk area, Russia</t>
  </si>
  <si>
    <t>Carbon sequestration via afforestation in Siberian settlements, Russian Federation</t>
  </si>
  <si>
    <t>Nonprofit Organization Center for Environmental Innovation</t>
  </si>
  <si>
    <t>Retrofitting of Khabarovsk Power Plant</t>
  </si>
  <si>
    <t>Mardo International</t>
  </si>
  <si>
    <t>UA1000363</t>
  </si>
  <si>
    <t>Reduction of Greenhouse Gases Emissions by Gasification of Mariupol City</t>
  </si>
  <si>
    <t>UA1000362</t>
  </si>
  <si>
    <t>Waste Heap Dismantling by PE “ARDS-SERVIS” with the Aim of Decreasing Greenhouse Gases Emissions into the Atmosphere</t>
  </si>
  <si>
    <t>JIPoA0019</t>
  </si>
  <si>
    <t>JIPoA0019.1</t>
  </si>
  <si>
    <t>EmSAG - Generation of Emission Certificates through Chimney Sweepers for energy-efficiency improvements of technical installations and building envelope</t>
  </si>
  <si>
    <t>JI0754</t>
  </si>
  <si>
    <t>JI0755</t>
  </si>
  <si>
    <t>JI0756</t>
  </si>
  <si>
    <t>JI0757</t>
  </si>
  <si>
    <t>JI0758</t>
  </si>
  <si>
    <t>JI0759</t>
  </si>
  <si>
    <t>JI0760</t>
  </si>
  <si>
    <t>JI0761</t>
  </si>
  <si>
    <t>JI0762</t>
  </si>
  <si>
    <t>JI0763</t>
  </si>
  <si>
    <t>JI0764</t>
  </si>
  <si>
    <t>JI0765</t>
  </si>
  <si>
    <t>JI0767</t>
  </si>
  <si>
    <t>JI0768</t>
  </si>
  <si>
    <t>JI0770</t>
  </si>
  <si>
    <t>JI0771</t>
  </si>
  <si>
    <t>JI0773</t>
  </si>
  <si>
    <t>JI0774</t>
  </si>
  <si>
    <t>JI0775</t>
  </si>
  <si>
    <t>JI0776</t>
  </si>
  <si>
    <t>JI0777</t>
  </si>
  <si>
    <t>Methane avoidance</t>
  </si>
  <si>
    <t xml:space="preserve"> 1-4, 13-14</t>
  </si>
  <si>
    <t>N2O abatement project at 9th ACHEMA UKL-7 plant.</t>
  </si>
  <si>
    <t>ACM19</t>
  </si>
  <si>
    <t>Netherlands (Deutsche bank), Spain (Stichting Carbon Finance)</t>
  </si>
  <si>
    <t>Netherland (Deutsche Bank)</t>
  </si>
  <si>
    <t>France (EDF Trading), Netherlands (ING Bank)</t>
  </si>
  <si>
    <t>UA1000326</t>
  </si>
  <si>
    <t>RU1000366</t>
  </si>
  <si>
    <t>RU1000372</t>
  </si>
  <si>
    <t>RU1000373</t>
  </si>
  <si>
    <t>RU1000367</t>
  </si>
  <si>
    <t>RU1000370</t>
  </si>
  <si>
    <t>RU1000371</t>
  </si>
  <si>
    <t>RU1000374</t>
  </si>
  <si>
    <t>FR1000365</t>
  </si>
  <si>
    <t>UA1000368</t>
  </si>
  <si>
    <t>Rehabilitation of the District Heating System of Public Stock Company "WESTA-DNEPR"</t>
  </si>
  <si>
    <t>UA1000376</t>
  </si>
  <si>
    <t>Waste Heap Dismantling in Sverdlovsk District of Luhansk Region of Ukraine with the Aim of Reducing Greenhouse Gases Emissions into the Atmosphere</t>
  </si>
  <si>
    <t xml:space="preserve">Implementation of Energy Efficiency Measures at SE “Prydniprovska Zaliznytsya” </t>
  </si>
  <si>
    <t>UA1000377</t>
  </si>
  <si>
    <t xml:space="preserve">Crimea &amp; Dnipropetrovsk &amp; Zaporizhzhya &amp; Kharkiv &amp; Kherson </t>
  </si>
  <si>
    <t>Construction of new energy unit at Novosibirsk HPS 5</t>
  </si>
  <si>
    <t>UA1000379</t>
  </si>
  <si>
    <t>Dismantling of Waste Heap No.2 at Former Enrichment Plant “Moskovska”</t>
  </si>
  <si>
    <t>Dismantling of Waste Heap at Former Enrichment Plant “Mikitivska”</t>
  </si>
  <si>
    <t>UA1000380</t>
  </si>
  <si>
    <t>Dismantling of Waste Heap at Former Enrichment Plant “Serdytyanska”</t>
  </si>
  <si>
    <t>UA1000378</t>
  </si>
  <si>
    <t>UA1000381</t>
  </si>
  <si>
    <t>Dismantling of Waste Heap at Former Mine “1-6”</t>
  </si>
  <si>
    <t>UA1000375</t>
  </si>
  <si>
    <t>Reduction of Greenhouse Gases Emissions by Gasification of Kyiv City</t>
  </si>
  <si>
    <t>Vema, Kyivgas</t>
  </si>
  <si>
    <t>Associated petroleum gas utilization at the Urengoy oil-gas condensate field, Russian Federation</t>
  </si>
  <si>
    <t>UA1000369</t>
  </si>
  <si>
    <t>Reduction of Methane Emissions on the Gas Equipment of Gas Distribution Points and on the Gas Armature, Flanged, Threaded Joints of Gas Distribution Pipelines of PJSC “Lubnygaz”</t>
  </si>
  <si>
    <t>Moston Properties, PJSC “Lubnygaz”</t>
  </si>
  <si>
    <t>Chemgas Nitrous Oxide Abatement Project</t>
  </si>
  <si>
    <t>Lalomita</t>
  </si>
  <si>
    <t>Sweden (MGM international)</t>
  </si>
  <si>
    <t>MGM international</t>
  </si>
  <si>
    <t>JI0778</t>
  </si>
  <si>
    <t>JI0779</t>
  </si>
  <si>
    <t>JI0780</t>
  </si>
  <si>
    <t>JI0781</t>
  </si>
  <si>
    <t>JI0782</t>
  </si>
  <si>
    <t>JI0783</t>
  </si>
  <si>
    <t>JI0784</t>
  </si>
  <si>
    <t>JI0785</t>
  </si>
  <si>
    <t>JI0786</t>
  </si>
  <si>
    <t>JI0787</t>
  </si>
  <si>
    <t>JI0788</t>
  </si>
  <si>
    <t>JI0789</t>
  </si>
  <si>
    <t>JI0790</t>
  </si>
  <si>
    <t>RU1000382</t>
  </si>
  <si>
    <t xml:space="preserve">Dismantling of Waste Heap at Former “Bogucharska-2” Mine </t>
  </si>
  <si>
    <t xml:space="preserve">Dismantling of Waste Heap at “5-BIS” Mine </t>
  </si>
  <si>
    <t>Efficient utilization of associated petroleum gas at Salym oilfields, Tumen oblast, Russian Federation</t>
  </si>
  <si>
    <t xml:space="preserve">Heating mains losses decline in settlements of Tuva Republic, Russian Federation </t>
  </si>
  <si>
    <t>Tuva</t>
  </si>
  <si>
    <t>GasTekhStrony</t>
  </si>
  <si>
    <t>Utilization of associated petroleum gas at the fields of Companies of TNK-BP Group, Orenburg oblast</t>
  </si>
  <si>
    <t>Orenburg</t>
  </si>
  <si>
    <t>JI0791</t>
  </si>
  <si>
    <t>JI0792</t>
  </si>
  <si>
    <t>JI0793</t>
  </si>
  <si>
    <t>JI0794</t>
  </si>
  <si>
    <t>JI0795</t>
  </si>
  <si>
    <t>SGS/TÜV Nord</t>
  </si>
  <si>
    <t>Sweden (Credit Swiss)</t>
  </si>
  <si>
    <t>Sweden (N.Serve)</t>
  </si>
  <si>
    <t>France (FutureCamp GmbH)</t>
  </si>
  <si>
    <t>LIV-Hessen</t>
  </si>
  <si>
    <t>UA1000384</t>
  </si>
  <si>
    <t>UA1000385</t>
  </si>
  <si>
    <t>RU1000383</t>
  </si>
  <si>
    <t>FR1000386</t>
  </si>
  <si>
    <t>UA1000388</t>
  </si>
  <si>
    <t xml:space="preserve">Reduction of Natural Gas Leaks at the Gas Distribution Networks of PJSC “Ternopilmiskgaz” </t>
  </si>
  <si>
    <t>Ternopil</t>
  </si>
  <si>
    <t>ORELAC, PJSC "Ternopilmiskgaz"</t>
  </si>
  <si>
    <t>UA1000389</t>
  </si>
  <si>
    <t xml:space="preserve">Reduction of Natural Gas Leaks at the Gas Distribution Networks of PJSC “Sevastopolgaz” </t>
  </si>
  <si>
    <t>CEP Carbon Emissions Partners, PJSC "Sevastopolgaz"</t>
  </si>
  <si>
    <t>RU1000390</t>
  </si>
  <si>
    <t>Switch from wet to dry process at OJSC “Shchurovsky Cement”, Russia</t>
  </si>
  <si>
    <t>Netherlands (Holcim)</t>
  </si>
  <si>
    <t>UA1000391</t>
  </si>
  <si>
    <t xml:space="preserve">Reduction of Greenhouse Gases Emissions by Gasification of Vinnitsya Region </t>
  </si>
  <si>
    <t>Vinnitsya</t>
  </si>
  <si>
    <t>UA1000393</t>
  </si>
  <si>
    <t>UA1000392</t>
  </si>
  <si>
    <t>CEP Carbon Emissions Partners, PJSC "Vinnitsyagas"</t>
  </si>
  <si>
    <t xml:space="preserve">Waste Heap Dismantling in the Rebrykove Town of Luhansk Region of Ukraine with the Aim of Reducing Greenhouse Gases Emissions into the Atmosphere </t>
  </si>
  <si>
    <t xml:space="preserve">Waste Heap Dismantling in the Southern Districts of Luhansk Region of Ukraine with the Aim of Reducing Greenhouse Gases Emissions into the Atmosphere </t>
  </si>
  <si>
    <t xml:space="preserve">Introduction of Heat and Power Complex “Motor Sich” </t>
  </si>
  <si>
    <t>LLC ‘Joint Implementation Team’</t>
  </si>
  <si>
    <t xml:space="preserve">Reduction of Greenhouse Gases Emissions Due to Energy Efficiency Improvements and Waste Heat Utilization at JSC “Ukrgrafit” </t>
  </si>
  <si>
    <t>Like ACM12+AMS-II.D.</t>
  </si>
  <si>
    <t>LLC ‘KT-Energy’</t>
  </si>
  <si>
    <t>Before Tr2, ref=21 (withdrawn)</t>
  </si>
  <si>
    <t>UA1000396</t>
  </si>
  <si>
    <t>Waste Heaps Dismantling of “RIGHT” LLC with the Aim of Decreasing the Greenhouse Gases Emissions into the Atmosphere</t>
  </si>
  <si>
    <t>MC Metropoliya</t>
  </si>
  <si>
    <t>RU1000397</t>
  </si>
  <si>
    <t>JI0797</t>
  </si>
  <si>
    <t>JI0798</t>
  </si>
  <si>
    <t>JI0799</t>
  </si>
  <si>
    <t>JI0800</t>
  </si>
  <si>
    <t>JI0801</t>
  </si>
  <si>
    <t>JI0802</t>
  </si>
  <si>
    <t>JI0803</t>
  </si>
  <si>
    <t>JI0804</t>
  </si>
  <si>
    <t>Liechtenstein</t>
  </si>
  <si>
    <t>1,3-5,11,13-14</t>
  </si>
  <si>
    <t>1-4,7,10,13,15</t>
  </si>
  <si>
    <t>Reducing of CO2 emissions by regular use of No-till technology in agricultural production of PJSC "Agro-Soyuz"</t>
  </si>
  <si>
    <t>Reducing of CO2 emissions by regular use of No-till technology in agricultural production of LLC "Agricultural enterprise "Agropromtehnika"</t>
  </si>
  <si>
    <t>Switzerland (Vagabo)</t>
  </si>
  <si>
    <t>Dnipropetrovs</t>
  </si>
  <si>
    <t>PJSC ―Agro-Soyuz</t>
  </si>
  <si>
    <t>Khmelnytsky</t>
  </si>
  <si>
    <t>Agropromtehnika</t>
  </si>
  <si>
    <t>RU1000395</t>
  </si>
  <si>
    <t>Before Tr2, ref=215</t>
  </si>
  <si>
    <t>RU1000394</t>
  </si>
  <si>
    <t>RU1000409</t>
  </si>
  <si>
    <t>RU1000413</t>
  </si>
  <si>
    <t>RU1000398</t>
  </si>
  <si>
    <t>UA1000408</t>
  </si>
  <si>
    <t>UA1000399</t>
  </si>
  <si>
    <t>UA1000400</t>
  </si>
  <si>
    <t xml:space="preserve">Waste Heaps Dismantling by “Coal Producing Firm “Vostok-Ugol AG” LLC with the Aim of Decreasing Greenhouse Gases Emissions into the Atmosphere </t>
  </si>
  <si>
    <t>UA1000401</t>
  </si>
  <si>
    <t xml:space="preserve">Waste Heaps Dismantling by Temp LTD-A in Ukraine </t>
  </si>
  <si>
    <t>UA1000402</t>
  </si>
  <si>
    <t>UA1000403</t>
  </si>
  <si>
    <t>UA1000404</t>
  </si>
  <si>
    <t>UA1000405</t>
  </si>
  <si>
    <t>UA1000406</t>
  </si>
  <si>
    <t>UA1000407</t>
  </si>
  <si>
    <t xml:space="preserve">Implementation of the Energy Efficiency Measures at SE "Malyshev Plant" </t>
  </si>
  <si>
    <t xml:space="preserve">Implementation of the Energy Efficiency Measures and Reduction of Greenhouse Gas Emissions into the Atmosphere at State Enterprise “Mine Administration “Pivdennodonbasske No. 1” </t>
  </si>
  <si>
    <t>CEP Carbon Emissions Partners</t>
  </si>
  <si>
    <t xml:space="preserve">Implementation of the Energy Efficiency Measures and Reduction of Greenhouse Gas Emissions into the Atmosphere at SS “Coal mine named after F.E. Dzerzhynskyi”, SE “DZERZHINSKUGOL” </t>
  </si>
  <si>
    <t>United K. (EVO CARBON), Switzerland (CEP Carbon Emissions Partners)</t>
  </si>
  <si>
    <t>EVO CARBON</t>
  </si>
  <si>
    <t xml:space="preserve">Reduction of Methane Leaks on the Gas Equipment of the Gas Distribution Points and on the Gas Armature, Flanged, Threaded Joints of the Gas Distribution Pipelines of PJSC “Chernigivgas” </t>
  </si>
  <si>
    <t>PJSC “Chernigivgas”</t>
  </si>
  <si>
    <t>Reduction of Methane Leaks on the Gas Equipment of the Gas Distribution Points and on the Gas Armature, Flanged, Threaded Joints of the Gas Distribution Pipelines of PJSC “Volyngas”</t>
  </si>
  <si>
    <t>Volyn</t>
  </si>
  <si>
    <t>Like AM23</t>
  </si>
  <si>
    <t>CEP Carbon Emissions Partners, PJSC "Volyngaz"</t>
  </si>
  <si>
    <t xml:space="preserve">Reduction of Methane Leaks on the Gas Equipment of the Gas Distribution Points and on the Gas Armature, Flanged, Threaded Joints of the Gas Distribution Pipelines of PJSC “Zakarpatgas” </t>
  </si>
  <si>
    <t>Zakarpattia</t>
  </si>
  <si>
    <t>CEP Carbon Emissions Partners, PJSC “Zakarpatgas”</t>
  </si>
  <si>
    <t>UA1000411</t>
  </si>
  <si>
    <t>UA1000414</t>
  </si>
  <si>
    <t>UA1000415</t>
  </si>
  <si>
    <t>UA1000416</t>
  </si>
  <si>
    <t xml:space="preserve">Implementation of 800 MW power generating unit No.2 at Nizhnevartovskaya GRES </t>
  </si>
  <si>
    <t>Khanty-Mansy</t>
  </si>
  <si>
    <t>Like AM29</t>
  </si>
  <si>
    <t>RU1000410</t>
  </si>
  <si>
    <t xml:space="preserve">Realization of a Complex of Energy Saving Activities at Ferrexpo Poltava Mining </t>
  </si>
  <si>
    <t>United K. (Climate Protection Bureau)</t>
  </si>
  <si>
    <t>CF Partners</t>
  </si>
  <si>
    <t xml:space="preserve">Expansion of Krasnodar CHPP with installation of CCP-410, LLC “LUKOIL-Kubanenergo”,Russian Federation </t>
  </si>
  <si>
    <t>United K. (Citigroup Global Markets)</t>
  </si>
  <si>
    <t>UA1000417</t>
  </si>
  <si>
    <t>UA1000418</t>
  </si>
  <si>
    <t>UA1000419</t>
  </si>
  <si>
    <t>UA1000420</t>
  </si>
  <si>
    <t>UA1000421</t>
  </si>
  <si>
    <t>UA1000422</t>
  </si>
  <si>
    <t>UA1000423</t>
  </si>
  <si>
    <t>UA1000424</t>
  </si>
  <si>
    <t>UA1000425</t>
  </si>
  <si>
    <t>UA1000426</t>
  </si>
  <si>
    <t>UA1000427</t>
  </si>
  <si>
    <t>UA1000428</t>
  </si>
  <si>
    <t>UA1000429</t>
  </si>
  <si>
    <t>UA1000430</t>
  </si>
  <si>
    <t xml:space="preserve">Implementation of the Energy Efficiency Measures and Reduction of Greenhouse Gas Emissions into the Atmosphere at State Enterprice “Coal Company “Krasnolimanska” </t>
  </si>
  <si>
    <t>CEP Carbon Emissions Partners, Coal Company “Krasnolimanska”</t>
  </si>
  <si>
    <t xml:space="preserve">Implementation of the Energy Efficiency Measures and Reduction of Greenhouse Gas Emissions into the Atmosphere at State Enterprise “Dzerzhinskugol” </t>
  </si>
  <si>
    <t xml:space="preserve">Implementation of the Energy Efficiency Measures and Reduction of Greenhouse Gas Emissions into the Atmosphere at State Enterprise “Artemugol” </t>
  </si>
  <si>
    <t xml:space="preserve">Implementation of Energy Efficiency Measures at SE “Donetska Zaliznytsya” </t>
  </si>
  <si>
    <t xml:space="preserve">Implementation of the Energy Efficiency Measures and Reduction of Greenhouse Gas Emissions into the Atmosphere at State Enterprice “Shakhtarskantratsyt” </t>
  </si>
  <si>
    <t xml:space="preserve">Implementation of the Energy Efficiency Measures and Reduction of Greenhouse Gas Emissions into the Atmosphere at SS “Coal Mine Toretska”, SE “Dzerzhinskugol” </t>
  </si>
  <si>
    <t xml:space="preserve">Utilization of Coal Mine Methane at the Coal Mine Named After M. P. Barakov of JSC “Krasnodoncoal” </t>
  </si>
  <si>
    <t>Global carbon BV</t>
  </si>
  <si>
    <t xml:space="preserve">Power Distribution System Modernization of PJSC "AES Rivneoblenergo" </t>
  </si>
  <si>
    <t>Carbon Management Company</t>
  </si>
  <si>
    <t xml:space="preserve">Power Distribution System Modernization of PJSC "AES Kyivoblenergo" </t>
  </si>
  <si>
    <t xml:space="preserve">Power Generation from the Coal Mine Methane at the Sukhodolskaya – Vostochnaya Mine </t>
  </si>
  <si>
    <t>Netherlands (Green Gas Ukraine Holdings)</t>
  </si>
  <si>
    <t>Like ACM8</t>
  </si>
  <si>
    <t>Green Gas Germany</t>
  </si>
  <si>
    <t xml:space="preserve">Dismantling of Waste Heap at “Novopavlovska” Mine </t>
  </si>
  <si>
    <t xml:space="preserve">Dismantling of Waste Heap at Former “7-a Bilyanka” Mine </t>
  </si>
  <si>
    <t xml:space="preserve">Complex of Activities for Prevention of Waste Heaps Burning and Recycling of Coal Mining Waste in Lugansk Region </t>
  </si>
  <si>
    <t xml:space="preserve">Dismantling of Waste Heap of “UTP INVEST” Ltd </t>
  </si>
  <si>
    <t>Dismantling of Waste Heap at “Miusynska” Mine</t>
  </si>
  <si>
    <t>Dismantling of Waste Heap at Former “Engels” Mine</t>
  </si>
  <si>
    <t>Secondary Processing of the Coal Mining Wastes with the Aim of Reducing Greenhouse Gas Emission into the Atmosphere</t>
  </si>
  <si>
    <t xml:space="preserve">Dismantling of Waste Heap #5 at Former #12 “Zapadna” Mine </t>
  </si>
  <si>
    <t xml:space="preserve">Implementation of the Energy Efficiency Measures and Reduction of Greenhouse Gas Emissions into the Atmosphere at State Enterprise “Krasnoarmeyskugol” </t>
  </si>
  <si>
    <t xml:space="preserve">Implementation of the Energy Efficiency Measures and Reduction of Greenhouse Gas Emissions into the Atmosphere at State Enterprise “Selidovugol” </t>
  </si>
  <si>
    <t xml:space="preserve">Construction of gas piston power plants for utilization of associated petroleum gas at oilfields developed by OJSC “Surgutneftegas” in Khanty-Mansiysk Autonomous Okrug </t>
  </si>
  <si>
    <t>Gazprom Marketing &amp; Trading</t>
  </si>
  <si>
    <t>Dobrogea</t>
  </si>
  <si>
    <t xml:space="preserve">Dorobantu Wind Power Park </t>
  </si>
  <si>
    <t>Vestas</t>
  </si>
  <si>
    <t>Austria (OMV Power International)</t>
  </si>
  <si>
    <t xml:space="preserve">Modernization of the Heat Supply System in Mykolaiv Region </t>
  </si>
  <si>
    <t xml:space="preserve">Reconstruction of Astrakhan TPP through construction of CCP-110, LLC “LUKOIL-Astrakhanenergo”, Russian Federation </t>
  </si>
  <si>
    <t>Astrakhan</t>
  </si>
  <si>
    <t xml:space="preserve">Sunflower Husk Utilization for Steam and Electricity Generation at the Oil-Extraction Factory CJSC Modified Fats Factory </t>
  </si>
  <si>
    <t xml:space="preserve">Utilization of Sunflower Husk for Heat Generation at Bandursky Vegetable Oil Extraction Plant LLC </t>
  </si>
  <si>
    <t>Climate Protection Bureau</t>
  </si>
  <si>
    <t xml:space="preserve">Waste Products Utilization of Coal Benefication Process with the Aim of Decreasing Greenhouse Gases Emissions into the Atmosphere at the Sludge Depository of MEP Slavianoserbska </t>
  </si>
  <si>
    <t>JI0806</t>
  </si>
  <si>
    <t>JI0807</t>
  </si>
  <si>
    <t>JI0808</t>
  </si>
  <si>
    <t>JI0809</t>
  </si>
  <si>
    <t>JI0810</t>
  </si>
  <si>
    <t>JI0811</t>
  </si>
  <si>
    <t>JI0812</t>
  </si>
  <si>
    <t>JI0813</t>
  </si>
  <si>
    <t>JI0814</t>
  </si>
  <si>
    <t>JI0815</t>
  </si>
  <si>
    <t>JI0816</t>
  </si>
  <si>
    <t>JI0817</t>
  </si>
  <si>
    <t>JI0818</t>
  </si>
  <si>
    <t>JI0819</t>
  </si>
  <si>
    <t>JI0820</t>
  </si>
  <si>
    <t>JI0821</t>
  </si>
  <si>
    <t>JI0822</t>
  </si>
  <si>
    <t>JI0823</t>
  </si>
  <si>
    <t>JI0824</t>
  </si>
  <si>
    <t>JI0825</t>
  </si>
  <si>
    <t>JI0826</t>
  </si>
  <si>
    <t>JI0827</t>
  </si>
  <si>
    <t>JI0828</t>
  </si>
  <si>
    <t>JI0829</t>
  </si>
  <si>
    <t>JI0830</t>
  </si>
  <si>
    <t>JI0831</t>
  </si>
  <si>
    <t>JI0832</t>
  </si>
  <si>
    <t>JI0833</t>
  </si>
  <si>
    <t>JI0834</t>
  </si>
  <si>
    <t>JI0835</t>
  </si>
  <si>
    <t>JI0836</t>
  </si>
  <si>
    <t>JI0837</t>
  </si>
  <si>
    <t>JI0838</t>
  </si>
  <si>
    <t>JI0839</t>
  </si>
  <si>
    <t>JI0840</t>
  </si>
  <si>
    <t>JI0841</t>
  </si>
  <si>
    <t>JI0842</t>
  </si>
  <si>
    <t>JI0843</t>
  </si>
  <si>
    <t>Waste Heaps of Volodarskogo Mine and CJSC “Ugolinvest” Dismantling and Processing through CEP</t>
  </si>
  <si>
    <t>Before Tr2, ref=248</t>
  </si>
  <si>
    <t>Before Tr2, ref=268</t>
  </si>
  <si>
    <t>RU1000431</t>
  </si>
  <si>
    <t>UA1000437</t>
  </si>
  <si>
    <t>UA1000433</t>
  </si>
  <si>
    <t>UA1000436</t>
  </si>
  <si>
    <t>UA1000435</t>
  </si>
  <si>
    <t>RU1000434</t>
  </si>
  <si>
    <t>JI0844</t>
  </si>
  <si>
    <t>JI0845</t>
  </si>
  <si>
    <t>JI0846</t>
  </si>
  <si>
    <t>JI0847</t>
  </si>
  <si>
    <t>JI0848</t>
  </si>
  <si>
    <t>JI0849</t>
  </si>
  <si>
    <t>JI0850</t>
  </si>
  <si>
    <t xml:space="preserve">Dismantling of Waste Heap #12 at Former “Dzerzhynskogo” Mine </t>
  </si>
  <si>
    <t>Dismantling of Waste Heap #54 at Former “Dzerzhynskogo” Mine</t>
  </si>
  <si>
    <t xml:space="preserve">Waste Heap #1, #2, #3 and #5 Dismantling of Frunze Mine with the Aim of Decreasing Greenhouse Gases Emission into the Atmosphere </t>
  </si>
  <si>
    <t xml:space="preserve">Reduction of Natural Gas Emissions at PJSC “Creamgas” </t>
  </si>
  <si>
    <t>PJSC “Creamgas”</t>
  </si>
  <si>
    <t xml:space="preserve">Implementation of the Energy Efficiency Measures and Reduction of Greenhouse Gas Emissions into the Atmosphere at State Enterprise “Snizhneantratsyt” </t>
  </si>
  <si>
    <t xml:space="preserve">Reduction of CO2 Emissions by Systematic Utilization of No-till Technology at Ltd “Оbriy-МТS-Rozdylna” Farmlands </t>
  </si>
  <si>
    <t>Estonia (LHCarbon OÜ)</t>
  </si>
  <si>
    <t xml:space="preserve">Reduction of Greenhouse Gas Emissions by Application of No-till Technology at LLC “Vishva Ananda” Farmlands </t>
  </si>
  <si>
    <t xml:space="preserve">Crimea &amp; Kherson </t>
  </si>
  <si>
    <t>EVO CARBON TRADING</t>
  </si>
  <si>
    <t>UA1000438</t>
  </si>
  <si>
    <t>FR1000439</t>
  </si>
  <si>
    <t>JI0851</t>
  </si>
  <si>
    <t>JI0852</t>
  </si>
  <si>
    <t>JI0853</t>
  </si>
  <si>
    <t>JI0854</t>
  </si>
  <si>
    <t>JI0855</t>
  </si>
  <si>
    <t xml:space="preserve">Reduction of Process Losses in Power Lines Donetskoblenergo PJSC </t>
  </si>
  <si>
    <t xml:space="preserve">Associated petroleum gas treatment for further use at Yuzhno-Khylchuyuskoe field of LLC “Naryanmarneftegas”, Russian Federation </t>
  </si>
  <si>
    <t>UA1000450</t>
  </si>
  <si>
    <t>RU1000449</t>
  </si>
  <si>
    <t>UA1000448</t>
  </si>
  <si>
    <t>UA1000447</t>
  </si>
  <si>
    <t>UA1000446</t>
  </si>
  <si>
    <t>PL1000445</t>
  </si>
  <si>
    <t>PL1000444</t>
  </si>
  <si>
    <t>UA1000443</t>
  </si>
  <si>
    <t>UA1000442</t>
  </si>
  <si>
    <t>UA1000441</t>
  </si>
  <si>
    <t>UA1000440</t>
  </si>
  <si>
    <t>RU1000451</t>
  </si>
  <si>
    <t>UA1000452</t>
  </si>
  <si>
    <t>RO1000453</t>
  </si>
  <si>
    <t xml:space="preserve">Complex of Activities for Waste Heaps of “Ekopromresurs-2007” Ltd. Dismantling with the Aim of Decreasing Greenhouse Gases Emissions into the Atmosphere </t>
  </si>
  <si>
    <t>JI0856</t>
  </si>
  <si>
    <t>JI0857</t>
  </si>
  <si>
    <t>JI0858</t>
  </si>
  <si>
    <t>JI0859</t>
  </si>
  <si>
    <t xml:space="preserve">Dismantling of Waste Heap at Former Mine #5 Near Leninske Urban Village </t>
  </si>
  <si>
    <t xml:space="preserve">Dismantling of Waste Heaps at Former Mines #18 and #19 of SE Rovenkyantratsyt </t>
  </si>
  <si>
    <t xml:space="preserve">Waste Heaps #9, #11, #17, #25 Dismantling of Mines #4 and #29 with the Aim of Decreasing Greenhouse Gases Emissions into the Atmosphere </t>
  </si>
  <si>
    <t>Biomass briquettes or pellets</t>
  </si>
  <si>
    <t>Pellet Production from Sawmill Wastes at CJSC Sawmill 25, Arkhangelsk, the Russian Federation</t>
  </si>
  <si>
    <t xml:space="preserve">Realization of a complex of energy saving activities at the OJSC "Kazanorgsintez" </t>
  </si>
  <si>
    <t>United K. (SIC Global)</t>
  </si>
  <si>
    <t>SIC Global</t>
  </si>
  <si>
    <t xml:space="preserve">Utilization of associated petroleum gas on Talakan oil and gas condensate field, Russian Federation </t>
  </si>
  <si>
    <t>RU1000455</t>
  </si>
  <si>
    <t>UA1000457</t>
  </si>
  <si>
    <t>UA1000459</t>
  </si>
  <si>
    <t>UA1000458</t>
  </si>
  <si>
    <t>UA1000456</t>
  </si>
  <si>
    <t>RU1000462</t>
  </si>
  <si>
    <t>JI0860</t>
  </si>
  <si>
    <t>JI0861</t>
  </si>
  <si>
    <t>JI0862</t>
  </si>
  <si>
    <t>JI0863</t>
  </si>
  <si>
    <t>JI0864</t>
  </si>
  <si>
    <t>JI0865</t>
  </si>
  <si>
    <t>JI0866</t>
  </si>
  <si>
    <t>JI0867</t>
  </si>
  <si>
    <t>JI0868</t>
  </si>
  <si>
    <t>JI0869</t>
  </si>
  <si>
    <t>JI0870</t>
  </si>
  <si>
    <t>UA1000463</t>
  </si>
  <si>
    <t>UA1000464</t>
  </si>
  <si>
    <t>UA1000465</t>
  </si>
  <si>
    <t>UA1000466</t>
  </si>
  <si>
    <t>UA1000467</t>
  </si>
  <si>
    <t>UA1000468</t>
  </si>
  <si>
    <t xml:space="preserve">Reduction of CO2 Emissions by Systematic Utilization of No-till Technologies in Agricultural Industry </t>
  </si>
  <si>
    <t>Reduction of Greenhouse Gas Emissions by Application of No-till Technology at LLC "Sintal Agro Trade" Farmlands</t>
  </si>
  <si>
    <t xml:space="preserve">Reduction of Methane Leaks on the Gas Equipment of the Gas Distribution Points and on the Gas Armature, Flanged, Threaded Joints of the Gas Distribution Pipelines of PJSC “Krivorijgaz” </t>
  </si>
  <si>
    <t>Kryvyi</t>
  </si>
  <si>
    <t>Reduction of Methane Leaks on the Gas Equipment of the Gas Distribution Points and on the Gas Armature, Flanged, Threaded Joints of the Gas Distribution Pipelines of PJSC “Kharkivgaz”</t>
  </si>
  <si>
    <t>Reduction of Direct Methane Emissions by Implementation of Innovative Repair Methods at Technological Equipment of Public Joint Stock Company "National Joint Stock Company "Chornomornaftogaz"</t>
  </si>
  <si>
    <t>Implementation of Energy-Saving Light Sources in the Public, Corporate аnd Private Sectors of Ukraine</t>
  </si>
  <si>
    <t>UA1000460</t>
  </si>
  <si>
    <t>UA1000461</t>
  </si>
  <si>
    <t>Reduction of Methane Leaks on the Gas Equipment of the Gas Distribution Points and on the Gas Armature, Flanged, Threaded Joints of the Gas Distribution Pipelines of PJSC “Ivano-Frankivskgas”</t>
  </si>
  <si>
    <t>PJSC “Ivano-Frankivskgas”</t>
  </si>
  <si>
    <t>Reduction of Methane Leaks on the Gas Equipment of the Gas Distribution Points and on the Gas Armature, Flanged, Threaded Joints of the Gas Distribution Pipelines of PJSC “Dniprogaz”</t>
  </si>
  <si>
    <t>PJSC “Dniprogaz”</t>
  </si>
  <si>
    <t>JI0871</t>
  </si>
  <si>
    <t xml:space="preserve">Fuel switch at Yuzhno-Sakhalinsk Combined Heat and Power Plant (CHPP-1) </t>
  </si>
  <si>
    <t>Sakhalin</t>
  </si>
  <si>
    <t>Coal to natural gas</t>
  </si>
  <si>
    <t xml:space="preserve">Reduction of Process Losses in Power Lines Dniprooblenergo PJSC </t>
  </si>
  <si>
    <t>JI0872</t>
  </si>
  <si>
    <t xml:space="preserve">Modernization and Technical Reequipment of PJSC "Centrenergo" TPP </t>
  </si>
  <si>
    <t>UA1000473</t>
  </si>
  <si>
    <t xml:space="preserve">Modernization and Technical Reequipment of PJSC "Donbasenergo" TPP </t>
  </si>
  <si>
    <t>UA1000470</t>
  </si>
  <si>
    <t>DE1000469</t>
  </si>
  <si>
    <t xml:space="preserve">Reduction of Methane Leaks on the Gas Equipment of the Gas Distribution Points and on the Gas Armature, Flanged, Threaded Joints of the Gas Distribution Pipelines of PJSC “Kharkivmiskgaz” </t>
  </si>
  <si>
    <t>UA1000472</t>
  </si>
  <si>
    <t>PJSC “Kharkivmiskgaz”</t>
  </si>
  <si>
    <t>GHG emission reduction through the commissioning of biogas-fuelled mini- HPPs at the Kurianovo and Lyubertsy waste water treatment facilities of the MGUP Mosvodokanal</t>
  </si>
  <si>
    <t>Reduction of Natural Gas Leaks at the Gas Distribution Networks of PJSC “Ternopilgaz”</t>
  </si>
  <si>
    <t>ORELAC, CEP Carbon Emissions Partners</t>
  </si>
  <si>
    <t>JI0873</t>
  </si>
  <si>
    <t>JI0874</t>
  </si>
  <si>
    <t>Nitrous oxide abatement in nitric acid production at OJSC “Cherepovetsky “Azot” (Russian Federation).</t>
  </si>
  <si>
    <t>PJSC “Semiconductor plant” reconstruction with expansion of polycrystalline silicon production</t>
  </si>
  <si>
    <t>Before Tr2, ref=226</t>
  </si>
  <si>
    <t>UA1000474</t>
  </si>
  <si>
    <t>JI0877</t>
  </si>
  <si>
    <t xml:space="preserve">Construction of new Air Separation Plant by Air Liquide Severstal, Russia </t>
  </si>
  <si>
    <t xml:space="preserve">Netherlands (Stichting Carbon Finance) </t>
  </si>
  <si>
    <t>GreenSteam Network</t>
  </si>
  <si>
    <t>Before Tr2, ref=203</t>
  </si>
  <si>
    <t xml:space="preserve">Modernization of Heat and Power Plant-Steam-Airblast Station to Increase Power Generation by Utilization of Blast Furnace Gas at CJSC ‘Donetsksteel’-Metallurgical Plant </t>
  </si>
  <si>
    <t>Rock Mass Processing of the Waste Heap with the Aim of Decreasing the Greenhouse Gases Emissions into the Atmosphere</t>
  </si>
  <si>
    <t>Estonia (ProEffect OÜ)</t>
  </si>
  <si>
    <t>REMSTROYPROEKT 2002</t>
  </si>
  <si>
    <t>Korean Register of Shipping</t>
  </si>
  <si>
    <t>KR</t>
  </si>
  <si>
    <t>EPIC Sustainability Services</t>
  </si>
  <si>
    <t>EPIC</t>
  </si>
  <si>
    <t>1-11,13-15</t>
  </si>
  <si>
    <t>Shenzhen CTI International Certification Co.</t>
  </si>
  <si>
    <t>CTI</t>
  </si>
  <si>
    <t>Northeast Audit Co.</t>
  </si>
  <si>
    <t>1-13,15</t>
  </si>
  <si>
    <t>NAC</t>
  </si>
  <si>
    <t>BRTUV Avaliações da Qualidade</t>
  </si>
  <si>
    <t>BRTUV</t>
  </si>
  <si>
    <t>1-4, 6, 7, 9</t>
  </si>
  <si>
    <t xml:space="preserve"> 1-13,15</t>
  </si>
  <si>
    <t>Was designated</t>
  </si>
  <si>
    <t>1,4-5,10,12-13</t>
  </si>
  <si>
    <t>1-5, 11, 13</t>
  </si>
  <si>
    <t>EYSUS</t>
  </si>
  <si>
    <t>Ernst &amp; Young Sustainability Co.</t>
  </si>
  <si>
    <t>KECO</t>
  </si>
  <si>
    <t>1-7,13-15</t>
  </si>
  <si>
    <t>1-5,7-8,10,13,15</t>
  </si>
  <si>
    <t>GFA ENVEST, WWF</t>
  </si>
  <si>
    <t>France (CF Partners)</t>
  </si>
  <si>
    <t>Avoided deforestation</t>
  </si>
  <si>
    <t>Netherlands (UAB Renerga)</t>
  </si>
  <si>
    <t>UA1000475</t>
  </si>
  <si>
    <t>UA1000476</t>
  </si>
  <si>
    <t>UA1000479</t>
  </si>
  <si>
    <t>UA1000477</t>
  </si>
  <si>
    <t>Reduction of Greenhouse Gases Emissions by Gasification of Zakarpattia Region</t>
  </si>
  <si>
    <t>JI0879</t>
  </si>
  <si>
    <t>JI0880</t>
  </si>
  <si>
    <t>JI0881</t>
  </si>
  <si>
    <t>JI0882</t>
  </si>
  <si>
    <t>JI0883</t>
  </si>
  <si>
    <t>Reduction of Greenhouse Gases Emissions by Gasification of Volyn Region</t>
  </si>
  <si>
    <t>UA1000478</t>
  </si>
  <si>
    <t>CEP Carbon Emissions Partners, PJSC “Volyngas”</t>
  </si>
  <si>
    <t>Implementation of Complex of Measures on Waste Heaps Processing with the Aim to Reduce GHG Emissions in the Atmosphere</t>
  </si>
  <si>
    <t>UA1000480</t>
  </si>
  <si>
    <t>Power Generation at HPPs of PJSC “Zakarpattyaoblenergo”</t>
  </si>
  <si>
    <t>Reconstuction</t>
  </si>
  <si>
    <t>UA1000481</t>
  </si>
  <si>
    <t>JI0884</t>
  </si>
  <si>
    <t>JI0885</t>
  </si>
  <si>
    <t>JI0886</t>
  </si>
  <si>
    <t>JI0887</t>
  </si>
  <si>
    <t>JI0888</t>
  </si>
  <si>
    <t>JI0889</t>
  </si>
  <si>
    <t>Before Tr2, ref=279</t>
  </si>
  <si>
    <t>Rehabilitation of the Heat and Water Supply Systems in Lutsk city</t>
  </si>
  <si>
    <t>Estonia (OÜ Biotehnoloogia)</t>
  </si>
  <si>
    <t>Rehabilitation of the Heat and Water Supply Systems in Vinnytsia Region</t>
  </si>
  <si>
    <t>Reduction of Greenhouse Gas Emissions by Modernizing Production Technology of Ash at PJSC “Belotserkovskiy Precast Plant”</t>
  </si>
  <si>
    <t>Netherlands (Amster Capital)</t>
  </si>
  <si>
    <t xml:space="preserve">Fa.Ro Srl </t>
  </si>
  <si>
    <t>Reduction of Process Losses in Power Lines Crimenergo PJSC</t>
  </si>
  <si>
    <t>Implementation of energy efficiency measures in enterprises of “Agrarian Holding Avangard”</t>
  </si>
  <si>
    <t>Netherlands (United Carbon Finance)</t>
  </si>
  <si>
    <t>Increase in efficiency of heating supply system of Novo-Lenino district, the Irkutsk city, Irkutsk region, Russian Federation</t>
  </si>
  <si>
    <t>National carbon sequestration foundation</t>
  </si>
  <si>
    <t>Before Tr2, ref=266</t>
  </si>
  <si>
    <t>Reduction of Greenhouse gases by gasification in the Zapad Region of Bulgaria</t>
  </si>
  <si>
    <t xml:space="preserve"> 22 municipalities</t>
  </si>
  <si>
    <t>Italy (SIL)</t>
  </si>
  <si>
    <t>RilaGas EAD</t>
  </si>
  <si>
    <t>UA1000483</t>
  </si>
  <si>
    <t>UA1000482</t>
  </si>
  <si>
    <t>RU1000484</t>
  </si>
  <si>
    <t>JI0890</t>
  </si>
  <si>
    <t>JI0891</t>
  </si>
  <si>
    <t>JI0892</t>
  </si>
  <si>
    <t>JI0893</t>
  </si>
  <si>
    <t>Waste Heap Dismantling at Former Mine Vodyanska #2</t>
  </si>
  <si>
    <t>Waste Heap Dismantling at Former Shterivska Mine</t>
  </si>
  <si>
    <t>Waste Heaps #1, #2 and #3 Dismantling at Luganska Pravda Mine</t>
  </si>
  <si>
    <t>Waste Heaps Dismantling Near Hrystoforivka Village</t>
  </si>
  <si>
    <t>Netherlands (N.Serve)</t>
  </si>
  <si>
    <t>Waste coal processing in Luhansk region of Ukraine with the Aim of Reducing Greenhouse Gases Emissions into the Atmosphere (under track 2)</t>
  </si>
  <si>
    <t>Later submitted as ref=329???</t>
  </si>
  <si>
    <t>28/12/12 as track 2</t>
  </si>
  <si>
    <t>UA1000485</t>
  </si>
  <si>
    <t>RO1000486</t>
  </si>
  <si>
    <t>RU1000487</t>
  </si>
  <si>
    <t>RU1000488</t>
  </si>
  <si>
    <t>UA1000492</t>
  </si>
  <si>
    <t>UA1000493</t>
  </si>
  <si>
    <t>UA1000494</t>
  </si>
  <si>
    <t>UA1000495</t>
  </si>
  <si>
    <t>RU1000496</t>
  </si>
  <si>
    <t>RU1000498</t>
  </si>
  <si>
    <t>UA1000500</t>
  </si>
  <si>
    <t xml:space="preserve">Implementation of Technological Modernization of LLC “TH “Shepetivsky Sugar” </t>
  </si>
  <si>
    <t>Khmelnitsk</t>
  </si>
  <si>
    <t>Implementation of Technological Modernization of Installations with the Aim of the Introduction of Sugar Production Organic Waste Management System for the Sugar Factories Participating in the Joint Activities</t>
  </si>
  <si>
    <t>UA1000489</t>
  </si>
  <si>
    <t>UA1000490</t>
  </si>
  <si>
    <t>UA1000491</t>
  </si>
  <si>
    <t>Implementation of Technological Modernization of PJSC “Gorokhiv Sugar Mill”</t>
  </si>
  <si>
    <t>LV1000497</t>
  </si>
  <si>
    <t>The Liepaja Regional Solid Waste Management Project</t>
  </si>
  <si>
    <t>Liepaja</t>
  </si>
  <si>
    <t xml:space="preserve">Liepajas RAS </t>
  </si>
  <si>
    <t>Implementation of Measures on Reduction of Energy Consumption and Greenhouse Gas Emissions at "ICE "Tekhnogaz" LLC</t>
  </si>
  <si>
    <t>Vinnytsa</t>
  </si>
  <si>
    <t>CEP Carbon Emissions Partners, ICE Tekhnogaz</t>
  </si>
  <si>
    <t>Reduction of Greenhouse Gases Emissions by Gasification of Ivano-Frankivsk Region</t>
  </si>
  <si>
    <t>CEP Carbon Emissions Partners, PJSC “Ivano-Frankivskgas”</t>
  </si>
  <si>
    <t>UA1000499</t>
  </si>
  <si>
    <t>Reconstruction of the Electrical and Heating Systems in Kyiv</t>
  </si>
  <si>
    <t>District heating &amp; electricity distribution</t>
  </si>
  <si>
    <t>Ohana LLP</t>
  </si>
  <si>
    <t>CMM utilisation on the Jas-Mos Coal Mine in Upper Silesian Basin, Poland</t>
  </si>
  <si>
    <t>CMM utilisation on the former 1 Maja (1st of May) Coal Mine in Upper Silesian Basin, Poland</t>
  </si>
  <si>
    <t>CMM utilisation on the former Zory Coal Mine in Upper Silesian Basin, Poland</t>
  </si>
  <si>
    <t>Complex of Measures, Directed on Decreasing GHG in Atmosphere due to Waste Heaps Burning</t>
  </si>
  <si>
    <t>“AGS-2008” LLC</t>
  </si>
  <si>
    <t>Carbonaceous Rock Processing and Concentrating with the Aim of Reducing Greenhouse Gas Emissions into the Atmosphere</t>
  </si>
  <si>
    <t>Dismantling of Waste Heap #3 at “Kurahivska” Mine</t>
  </si>
  <si>
    <t>Dismantling of Waste Heap #5 at “Kurahivska” Mine</t>
  </si>
  <si>
    <t>Dismantling of Waste Heap #7 at “Kurahivska” Mine</t>
  </si>
  <si>
    <t>Dismantling of Waste Heap #8 at “Kurahivska” Mine</t>
  </si>
  <si>
    <t>Dismantling of Waste Heap #9 at “Kurahivska” Mine</t>
  </si>
  <si>
    <t>Recultivation of Waste Heaps in Donetsk Region in Order to Reduce Greenhouse Gas Emissions into the Atmosphere</t>
  </si>
  <si>
    <t>Waste Heap # 1 Dismantling at Chesnokova Former Mine</t>
  </si>
  <si>
    <t>Waste Heap # 2 Dismantling at Chesnokova Former Mine</t>
  </si>
  <si>
    <t>Waste Heap Dismantling Near Settlement Zorynsk in Perevalsk District of Luhansk Region of Ukraine with the Aim of Reducing Greenhouse Gases Emissions into the Atmosphere</t>
  </si>
  <si>
    <t>Netherlands (Carbon Development and Trading)</t>
  </si>
  <si>
    <t>Crewing Planning</t>
  </si>
  <si>
    <t>Waste Heap Dismantling in Antratsitovsky District of Luhansk Region of Ukraine with the Aim of Reducing Greenhouse Gases Emissions into the Atmosphere</t>
  </si>
  <si>
    <t>Before Tr2, ref=265</t>
  </si>
  <si>
    <t>Waste Heap Dismantling in Perevalsk District of Luhansk Region of Ukraine with the Aim of Reducing Greenhouse Gases Emissions into the Atmosphere</t>
  </si>
  <si>
    <t>Waste Heaps Dismantling at #50, #64, Hartoptorg and Removska Former Mines</t>
  </si>
  <si>
    <t>Waste Heaps Dismantling at Former #2-2 BIS and 3d Kolpakivska Mines</t>
  </si>
  <si>
    <t>Waste Heaps Dismantling at Former #6, Kurstop and Violin Mines</t>
  </si>
  <si>
    <t>Waste Heaps Dismantling at Kamylova, #35 and Vanda Former Mines</t>
  </si>
  <si>
    <t xml:space="preserve">Reduction of CO2 Emissions by Systematic Utilization of No-till Technology in Agriculture at LLC “Ahrodar LTD” </t>
  </si>
  <si>
    <t xml:space="preserve">Kirovohrad </t>
  </si>
  <si>
    <t>Reduction of Greenhouse Gas Emissions by Application of No-till Technology at LLC “Koziivske” Farmlands</t>
  </si>
  <si>
    <t>Reduction of Greenhouse Gas Emissions by Application of No-till Technology at Private Joint Stock Company “Rise-Maksymko”</t>
  </si>
  <si>
    <t>Reduction of Greenhouse Gas Emissions by Stabilization and Demolition of Ltd “PROMINVESTEKOLOHIIA” Waste Heaps Located near Sverdlovsk City and Hirne, Zakhidnyi and Talove Urban Villages, Luhansk Region</t>
  </si>
  <si>
    <t>Prominvest-Ekolohiia</t>
  </si>
  <si>
    <t>Reduction of Greenhouse Gas Emissions by Stabilization and Demolition of Ltd. “PROMINVEST-EKOLOHIIA” Waste Heaps Located near Mykhailivka, Leninske and Yasynivskyi Urban Villages, Luhansk Region</t>
  </si>
  <si>
    <t>Reduction of Greenhouse Gas Emissions by Stabilization and Demolition of Ltd. “PROMINVESTEKOLOHIIA” Waste Heaps Located near Krasnodon City and Izvaryne Urban Village, Luhansk Region</t>
  </si>
  <si>
    <t>Reduction of Greenhouse Gases by Demolition of Waste Heaps of Ltd. “PROMINVEST-EKOLOHIIA”</t>
  </si>
  <si>
    <t>Reduction of Greenhouse Gases by Stabilization of Waste Heaps of PE “Torez-Contract”</t>
  </si>
  <si>
    <t>Reduction of Methane Leaks on the Gas Equipment of the Gas Distribution Points and on the Gas Armature, Flanged, Threaded Joints of the Gas Distribution Pipelines of PJSC “Donetskmiskgaz”</t>
  </si>
  <si>
    <t>UA1000502</t>
  </si>
  <si>
    <t>Modernization of the Heat Supply System of Ternopil City</t>
  </si>
  <si>
    <t>CEP Carbon Emissions Partners, HNUE "Ternopilmiskteplokomunenergo"</t>
  </si>
  <si>
    <t>UA1000503</t>
  </si>
  <si>
    <t>Greenhouse Gases Emissions Reduction due to Modernization of Production Facilities at LLC “Karpatnaftohim”</t>
  </si>
  <si>
    <t>UA1000504</t>
  </si>
  <si>
    <t>Frankivsk</t>
  </si>
  <si>
    <t>UA1000505</t>
  </si>
  <si>
    <t>Greenhouse Gases Emissions Reduction due to the Modernization of the Production Facilities of Odessa Refinery</t>
  </si>
  <si>
    <t>UA1000506</t>
  </si>
  <si>
    <t>Construction of ”Botievska WPP” Power Plant with 200 MW Capacity</t>
  </si>
  <si>
    <t>Vestas turbines</t>
  </si>
  <si>
    <t>Development and Improvement of Water Supply Systems, Drainage System and Wastewater Treatment of CE “Dniprovodokanal”</t>
  </si>
  <si>
    <t>Vema, CE “Dniprovodokanal”</t>
  </si>
  <si>
    <t>Energy Efficiency Improvement at Novoyavorivska TPP by Re-equipment Thereof</t>
  </si>
  <si>
    <t>CEP Carbon Emissions Partners, ORELAC</t>
  </si>
  <si>
    <t>Like AM99</t>
  </si>
  <si>
    <t>Energy Efficiency Programme at the Plants of LLC “Agricultural Produce Organization” Tsukrovyk Poltavschyny”</t>
  </si>
  <si>
    <t>Netherlands (Stitching Carbon Finance)</t>
  </si>
  <si>
    <t>Before Tr2, ref=209</t>
  </si>
  <si>
    <t>Before Tr2, ref=318</t>
  </si>
  <si>
    <t>Before Tr2, ref=310</t>
  </si>
  <si>
    <t>Netherlands (E–energy B.V.)</t>
  </si>
  <si>
    <t>Implementation of Complex of Energy Efficiency Measures and Waste Disposal at PJSC “SUN INBEV UKRAINE”</t>
  </si>
  <si>
    <t>Chernihiv, Kharkiv, Mykolaiv</t>
  </si>
  <si>
    <t>Beer factories</t>
  </si>
  <si>
    <t>MT-Invest Carbon</t>
  </si>
  <si>
    <t>Implementation of Energy Saving Measures at PJSC “Khartsyzsk Pipe Plant”</t>
  </si>
  <si>
    <t>Before Tr2, ref=321</t>
  </si>
  <si>
    <t>Before Tr2, ref=307</t>
  </si>
  <si>
    <t>Netherlands (Metinvest International)</t>
  </si>
  <si>
    <t>PJSC “Khartsyzsk Pipe Plant”</t>
  </si>
  <si>
    <t>Introduction of Sugar Production Organic Waste Management System at the “Podilski Sugar Mills” LTD</t>
  </si>
  <si>
    <t>Before Tr2, ref=298</t>
  </si>
  <si>
    <t>Before Tr2, ref=255</t>
  </si>
  <si>
    <t>Environmental (Green) Investments Fund</t>
  </si>
  <si>
    <t>Realization of a Complex of Energy Saving Activities at PJSC “ROSAVA”</t>
  </si>
  <si>
    <t>Lithuania (CF Partners)</t>
  </si>
  <si>
    <t>Tyre manufacturer</t>
  </si>
  <si>
    <t>Reconstruction of the Electricity Grid of the ”Service-Invest” LLC</t>
  </si>
  <si>
    <t>Before Tr2, ref=259</t>
  </si>
  <si>
    <t>Before Tr2, ref=258</t>
  </si>
  <si>
    <t>Before Tr2, ref=257</t>
  </si>
  <si>
    <t>Slag Heap Dismantling in Western Part of the Waste Heap Chagarnyky</t>
  </si>
  <si>
    <t>Technological Modernization Aimed at Utilization of Sugar Production Organic Waste at the ALC “Palmirsky Sugar Plant”</t>
  </si>
  <si>
    <t xml:space="preserve">Cherkasy, Poltava, Kharkiv, Ternopil </t>
  </si>
  <si>
    <t>Before Tr2, ref=148</t>
  </si>
  <si>
    <t>Utilisation of CMM for liquefaction on the Krupinski Coal Mine in Upper Silesian Basin, Poland</t>
  </si>
  <si>
    <t>Carbon-TF</t>
  </si>
  <si>
    <t>Silesia</t>
  </si>
  <si>
    <t>Utilization of Coal Mine Methane at the SE “Makiyivvuhillya”</t>
  </si>
  <si>
    <t>Energometan</t>
  </si>
  <si>
    <t>Utilization of Sunflower Seeds Husk for Heat and Power Production at JSC “Pology Oil-Extration Plant”</t>
  </si>
  <si>
    <t>Before Tr2, ref=151</t>
  </si>
  <si>
    <t>Before Tr2, ref=254</t>
  </si>
  <si>
    <t>Same as UA1000131</t>
  </si>
  <si>
    <t>Before Tr2, ref=81</t>
  </si>
  <si>
    <t>Before Tr2, ref=240</t>
  </si>
  <si>
    <t>Before Tr2, ref=262</t>
  </si>
  <si>
    <t>Before Tr2, ref=155</t>
  </si>
  <si>
    <t>Before Tr2, ref=296</t>
  </si>
  <si>
    <t>Same as UA1000290?</t>
  </si>
  <si>
    <t>Before Tr2, ref=232</t>
  </si>
  <si>
    <t>Before Tr2, ref=225</t>
  </si>
  <si>
    <t>Before Tr2, ref=169</t>
  </si>
  <si>
    <t>Like ASM-I.D</t>
  </si>
  <si>
    <t>Before Tr2, ref=245</t>
  </si>
  <si>
    <t>Before Tr2, ref=242</t>
  </si>
  <si>
    <t>Before Tr2, ref=273</t>
  </si>
  <si>
    <t>Same as UA1000273?</t>
  </si>
  <si>
    <t>Before Tr2, ref=196</t>
  </si>
  <si>
    <t>JI0726</t>
  </si>
  <si>
    <t>JI0894</t>
  </si>
  <si>
    <t>JI0895</t>
  </si>
  <si>
    <t>JI0896</t>
  </si>
  <si>
    <t>JI0897</t>
  </si>
  <si>
    <t>JI0898</t>
  </si>
  <si>
    <t>JI0899</t>
  </si>
  <si>
    <t>JI0900</t>
  </si>
  <si>
    <t>JI0901</t>
  </si>
  <si>
    <t>JI0902</t>
  </si>
  <si>
    <t>JI0903</t>
  </si>
  <si>
    <t>JI0904</t>
  </si>
  <si>
    <t>JI0905</t>
  </si>
  <si>
    <t>JI0906</t>
  </si>
  <si>
    <t>JI0907</t>
  </si>
  <si>
    <t>JI0908</t>
  </si>
  <si>
    <t>JI0909</t>
  </si>
  <si>
    <t>JI0910</t>
  </si>
  <si>
    <t>JI0911</t>
  </si>
  <si>
    <t>JI0912</t>
  </si>
  <si>
    <t>JI0913</t>
  </si>
  <si>
    <t>JI0914</t>
  </si>
  <si>
    <t>JI0915</t>
  </si>
  <si>
    <t>JI0916</t>
  </si>
  <si>
    <t>JI0917</t>
  </si>
  <si>
    <t>JI0918</t>
  </si>
  <si>
    <t>JI0919</t>
  </si>
  <si>
    <t>JI0920</t>
  </si>
  <si>
    <t>JI0921</t>
  </si>
  <si>
    <t>JI0922</t>
  </si>
  <si>
    <t>JI0923</t>
  </si>
  <si>
    <t>JI0924</t>
  </si>
  <si>
    <t>JI0925</t>
  </si>
  <si>
    <t>JI0926</t>
  </si>
  <si>
    <t>JI0927</t>
  </si>
  <si>
    <t>JI0928</t>
  </si>
  <si>
    <t>JI0929</t>
  </si>
  <si>
    <t>JI0930</t>
  </si>
  <si>
    <t>JI0931</t>
  </si>
  <si>
    <t>JI0932</t>
  </si>
  <si>
    <t>JI0933</t>
  </si>
  <si>
    <t>JI0934</t>
  </si>
  <si>
    <t>JI0935</t>
  </si>
  <si>
    <t>JI0936</t>
  </si>
  <si>
    <t>JI0937</t>
  </si>
  <si>
    <t>JI0938</t>
  </si>
  <si>
    <t>JI0939</t>
  </si>
  <si>
    <t>JI0940</t>
  </si>
  <si>
    <t>JI0941</t>
  </si>
  <si>
    <t>JI0942</t>
  </si>
  <si>
    <t>JI0943</t>
  </si>
  <si>
    <t>JI0944</t>
  </si>
  <si>
    <t>JI0945</t>
  </si>
  <si>
    <t>France (Mercuria Energy Trading)</t>
  </si>
  <si>
    <t>UA1000507</t>
  </si>
  <si>
    <t>UA1000508</t>
  </si>
  <si>
    <t>UA1000509</t>
  </si>
  <si>
    <t>UA1000511</t>
  </si>
  <si>
    <t>UA1000510</t>
  </si>
  <si>
    <t>UA1000512</t>
  </si>
  <si>
    <t>UA1000513</t>
  </si>
  <si>
    <t>UA1000514</t>
  </si>
  <si>
    <t>UA1000515</t>
  </si>
  <si>
    <t>UA1000516</t>
  </si>
  <si>
    <t>UA1000517</t>
  </si>
  <si>
    <t>Before Tr2, ref=207</t>
  </si>
  <si>
    <t>Same as UA1000195??</t>
  </si>
  <si>
    <t>Same as UA1000298??</t>
  </si>
  <si>
    <t>Same as UA1000326??</t>
  </si>
  <si>
    <t>Same as UA1000283??</t>
  </si>
  <si>
    <t>Same as UA1000262??</t>
  </si>
  <si>
    <t>Same as UA10002674?</t>
  </si>
  <si>
    <t>Before Tr2, ref=6</t>
  </si>
  <si>
    <t>Before Tr2, ref=192</t>
  </si>
  <si>
    <t>Same as UA1000280??</t>
  </si>
  <si>
    <t>Before Tr2, ref=119</t>
  </si>
  <si>
    <t>Before Tr2, ref=191</t>
  </si>
  <si>
    <t>Before Tr2, ref=8</t>
  </si>
  <si>
    <t>Same as UA1000515??</t>
  </si>
  <si>
    <t>Same as ref=328??</t>
  </si>
  <si>
    <t>Before Tr2, ref=269</t>
  </si>
  <si>
    <t>Netherlands (ING Bank), Switzerland (Metinvest)</t>
  </si>
  <si>
    <t>Total amount of ERUs issued 2008-2012</t>
  </si>
  <si>
    <t>According to UNFCCC JI web-site (ITL total)</t>
  </si>
  <si>
    <t>Most ITL data are secret.</t>
  </si>
  <si>
    <t>CH4 reduction &amp; Cement &amp; Coal mine/bed &amp; Fugitive</t>
  </si>
  <si>
    <t>CH4 reduction &amp; Cement &amp; Coal mine/bed &amp; Fugitives</t>
  </si>
  <si>
    <t>2008-2012 ERU Issuance</t>
  </si>
  <si>
    <t>Project area = 450374 ha, home to at least 12 endangered species including the Amur tiger.</t>
  </si>
  <si>
    <t>Landfill gas recovery in Tagarades, with its further utilization in cogeneration equipment</t>
  </si>
  <si>
    <t>JI0946</t>
  </si>
  <si>
    <t>Collection and utilization of methane at the solid waste landfill in Athens</t>
  </si>
  <si>
    <t>Athen</t>
  </si>
  <si>
    <t>JI0947</t>
  </si>
  <si>
    <t>Vema, Beal</t>
  </si>
  <si>
    <t>Thessaloniki</t>
  </si>
  <si>
    <t>Vema, Helector</t>
  </si>
  <si>
    <t>Before Tr2, ref=92</t>
  </si>
  <si>
    <t>Table 1: New submitted projects</t>
  </si>
  <si>
    <t>Table 2: 2012 kERUs for new submitted projects</t>
  </si>
  <si>
    <t>Q1-13</t>
  </si>
  <si>
    <t>Q2-13</t>
  </si>
  <si>
    <t>Q3-13</t>
  </si>
  <si>
    <t>Q4-13</t>
  </si>
  <si>
    <t>UA1000518</t>
  </si>
  <si>
    <t>UA1000519</t>
  </si>
  <si>
    <t>UA1000520</t>
  </si>
  <si>
    <t>UA1000521</t>
  </si>
  <si>
    <t>UA1000522</t>
  </si>
  <si>
    <t>UA1000523</t>
  </si>
  <si>
    <t>PL1000526</t>
  </si>
  <si>
    <t>PL1000525</t>
  </si>
  <si>
    <t>PL1000527</t>
  </si>
  <si>
    <t>RU1000471</t>
  </si>
  <si>
    <t>JI0948</t>
  </si>
  <si>
    <t>JI0949</t>
  </si>
  <si>
    <t>JI0950</t>
  </si>
  <si>
    <t>JI0951</t>
  </si>
  <si>
    <t>JI0952</t>
  </si>
  <si>
    <t>JI0953</t>
  </si>
  <si>
    <t>JI0954</t>
  </si>
  <si>
    <t>JI0955</t>
  </si>
  <si>
    <t>JI0956</t>
  </si>
  <si>
    <t>JI0957</t>
  </si>
  <si>
    <t>JI0958</t>
  </si>
  <si>
    <t>Avoidance of emissions in power stations through CMM utilisation on the Pniowek Coal Mine in Upper Silesian Basin, Poland. Project acronym: Pniowek-power</t>
  </si>
  <si>
    <t>Power and heat displacement by means of CMM utilisation on the Budryk Coal Mine in Upper Silesian Basin, Poland. Project acronym: Budryk-power</t>
  </si>
  <si>
    <t>Power and heat displacement by means of CMM utilisation on the Krupinski Coal Mine in Upper Silesian Basin, Poland. Project acronym: Krupinski-power</t>
  </si>
  <si>
    <t>RWE Renewables Polska Wind Power Project</t>
  </si>
  <si>
    <t>West Pomeranian, Podlaskie</t>
  </si>
  <si>
    <t>Siemens 2.3 MW &amp; Gamesa 2 MW</t>
  </si>
  <si>
    <t>RP Global Polish Wind Farm Project</t>
  </si>
  <si>
    <t>Austria (RP Global Austria)</t>
  </si>
  <si>
    <t>Wind Premium ("Premia Wiatrowa"): support for small wind farms in Poland</t>
  </si>
  <si>
    <t>Germany (Faber Consulting)</t>
  </si>
  <si>
    <t>Pomeranian, Lodz, Greater Poland</t>
  </si>
  <si>
    <t>Faber Consulting</t>
  </si>
  <si>
    <t>Joint Implementation Track One Project of 48 MW wind farm Gołdap</t>
  </si>
  <si>
    <t>Carbon Engineering</t>
  </si>
  <si>
    <t>Joint Implementation Track One Project of 34MW wind farm Dobrzyń</t>
  </si>
  <si>
    <t>JI0959</t>
  </si>
  <si>
    <t>Kuyavian-Pomeranian</t>
  </si>
  <si>
    <t>Vestas 2 MW</t>
  </si>
  <si>
    <t xml:space="preserve"> Vestas 3 MW</t>
  </si>
  <si>
    <t>Joint Implementation Track One Project of 32MWel Wind Farm in Inowrocław</t>
  </si>
  <si>
    <t>Joint Implementation Track One Project of 32MW Śniatowo</t>
  </si>
  <si>
    <t>Joint Implementation Track One Project of - Renewable Energy Group PWB I</t>
  </si>
  <si>
    <t>TEFRA</t>
  </si>
  <si>
    <t xml:space="preserve">Greater Poland, Masovian, Lodz </t>
  </si>
  <si>
    <t xml:space="preserve">Production of alternative hydraulic binders, which can replace traditional materials based on cement and lime. </t>
  </si>
  <si>
    <t>Clinker replacement</t>
  </si>
  <si>
    <t>JI0960</t>
  </si>
  <si>
    <t>JI0961</t>
  </si>
  <si>
    <t>JI0962</t>
  </si>
  <si>
    <t>JI0963</t>
  </si>
  <si>
    <t>Installation of the AlfaCond Steam Condensation Systems on the Turbine-generators of the Heat and Power Plant of JSC “Avdeevskiy Coke-processing Works”</t>
  </si>
  <si>
    <t>Switzerland (Metinvest International)</t>
  </si>
  <si>
    <t>Implementation of Energy Saving Measures at PJSC “Ingulets Iron Ore Enrichment Works”</t>
  </si>
  <si>
    <t>PJSC “Ingulets iron ore enrichment works</t>
  </si>
  <si>
    <t>Implementation of Energy Saving Measures at Public Joint Stock Company “Northern Iron Ore Enrichment Works”</t>
  </si>
  <si>
    <t>PJSC "Northern Iron Ore Enrichment Works”</t>
  </si>
  <si>
    <t>Implementation of Energy Saving Measures at “Central Iron Ore Enrichment Works” Public Joint Stock Company</t>
  </si>
  <si>
    <t>PJSC “Central Ore Mining and Processing Plant”</t>
  </si>
  <si>
    <t>Table 4: 2012 kCERs</t>
  </si>
  <si>
    <t>UNFCCC</t>
  </si>
  <si>
    <t>PL1000528</t>
  </si>
  <si>
    <t>PL1000529</t>
  </si>
  <si>
    <t>PL1000530</t>
  </si>
  <si>
    <t>PL1000531</t>
  </si>
  <si>
    <t>PL1000534</t>
  </si>
  <si>
    <t>PL1000532</t>
  </si>
  <si>
    <t>PL1000533</t>
  </si>
  <si>
    <t>UA1000454</t>
  </si>
  <si>
    <t>Waste coal processing in Luhansk region of Ukraine with the Aim of Reducing Greenhouse Gases Emissions into the Atmosphere</t>
  </si>
  <si>
    <t>UA1000535</t>
  </si>
  <si>
    <t>UA1000536</t>
  </si>
  <si>
    <t>JI0964</t>
  </si>
  <si>
    <t>Nitroporos Nitrous Oxide Abatement Project</t>
  </si>
  <si>
    <t>Brasov</t>
  </si>
  <si>
    <t>RU1000333</t>
  </si>
  <si>
    <t>PL1000337</t>
  </si>
  <si>
    <t>PL1000524</t>
  </si>
  <si>
    <t>RU1000412</t>
  </si>
  <si>
    <t>BG1000501</t>
  </si>
  <si>
    <t>BG1000308</t>
  </si>
  <si>
    <t>Before Tr2, ref=216</t>
  </si>
  <si>
    <t>RU1000387</t>
  </si>
  <si>
    <t>RU1000432</t>
  </si>
  <si>
    <t>Netherlands (CAMCO)</t>
  </si>
  <si>
    <t>The reason for the difference is that we only have access to the ERU issuance reported to the UNFCCC web-site (+ a Russian web-site)</t>
  </si>
  <si>
    <t>UA1000537</t>
  </si>
  <si>
    <t>PL1000538</t>
  </si>
  <si>
    <t>Before Tr2, ref=261</t>
  </si>
  <si>
    <t>InvestEcoGroup</t>
  </si>
  <si>
    <t>1,7,13</t>
  </si>
  <si>
    <t>Improved Forest Management</t>
  </si>
  <si>
    <t>Afforestation, Reforestation &amp; Avoided deforestation</t>
  </si>
  <si>
    <t>Mixed renewables</t>
  </si>
  <si>
    <t>Mixed renew-ables</t>
  </si>
  <si>
    <t>Methane avoi-dance</t>
  </si>
  <si>
    <t>Geo-thermal</t>
  </si>
  <si>
    <t>Before Tr2, ref=182</t>
  </si>
  <si>
    <t>Before Tr2, ref=195=108</t>
  </si>
  <si>
    <t>PDD and determination reprot changed in 2012-13</t>
  </si>
  <si>
    <t>JI0965</t>
  </si>
  <si>
    <t>The Reconstruction of the Electricity Grid of the “Lugansk Energy Interconnection” LLC. in Order to Lower the Electricity Transportation Loses</t>
  </si>
  <si>
    <t>Eco-Elta</t>
  </si>
  <si>
    <t>The Reconstruction of the Electricity Grid of the “Sumyoblenergo” PJSC in Order to Lower the Electricity Transportation Loses</t>
  </si>
  <si>
    <t>JI0966</t>
  </si>
  <si>
    <t>Sumy</t>
  </si>
  <si>
    <t>UA1000540</t>
  </si>
  <si>
    <t>UA1000541</t>
  </si>
  <si>
    <t>UA1000539</t>
  </si>
  <si>
    <t>UA1000542</t>
  </si>
  <si>
    <t>PL1000543</t>
  </si>
  <si>
    <t>PL1000544</t>
  </si>
  <si>
    <t>JI0967</t>
  </si>
  <si>
    <t>Modular Enrichment Complex Vahrushevskyi for mining waste dump recycling</t>
  </si>
  <si>
    <t>Netherlands (HaskoningDHV Nederland)</t>
  </si>
  <si>
    <t>HaskoningDHV Nederland+GreenStream Network</t>
  </si>
  <si>
    <t>CP1      kERUs</t>
  </si>
  <si>
    <t>CP2      kERUs</t>
  </si>
  <si>
    <t>All CPs      kERUs</t>
  </si>
  <si>
    <t>United K. (n.a.)</t>
  </si>
  <si>
    <t>Carbon Ekspert</t>
  </si>
  <si>
    <t>United K. (Vitol)</t>
  </si>
  <si>
    <t>Sweden (Carbon Solutions Sweden)</t>
  </si>
  <si>
    <t>Methan avoidance</t>
  </si>
  <si>
    <t>?</t>
  </si>
  <si>
    <t>Green and Fair</t>
  </si>
  <si>
    <t>Green and fair</t>
  </si>
  <si>
    <t>PL1000546</t>
  </si>
  <si>
    <t>France (BSH Bosch and Siemens)</t>
  </si>
  <si>
    <t>for PoAs</t>
  </si>
  <si>
    <t>PL1000547</t>
  </si>
  <si>
    <t>JI0968</t>
  </si>
  <si>
    <t>JI0969</t>
  </si>
  <si>
    <t>Prykarpattyaoblenergo PJSC Power Distribution System Modernization</t>
  </si>
  <si>
    <t>Lvivoblenergo PJSC Power Distribution System Modernization</t>
  </si>
  <si>
    <t>UA1000545</t>
  </si>
  <si>
    <t>JI0970</t>
  </si>
  <si>
    <t>UA1000548</t>
  </si>
  <si>
    <t>UA1000549</t>
  </si>
  <si>
    <t>JI0971</t>
  </si>
  <si>
    <t xml:space="preserve">Ternopiloblenergo OJSC power distribution system modernization </t>
  </si>
  <si>
    <t>Q1-14</t>
  </si>
  <si>
    <t>Q2-14</t>
  </si>
  <si>
    <t>Q3-14</t>
  </si>
  <si>
    <t>Q4-14</t>
  </si>
  <si>
    <t xml:space="preserve">Greenhouse Gas Emission Reduction Due to Modernization of Objects of the AR Crimea Water Complex and the North-Crimean Canal </t>
  </si>
  <si>
    <t>Before Tr2, ref=333</t>
  </si>
  <si>
    <t>UA1000550</t>
  </si>
  <si>
    <t>Q1-15</t>
  </si>
  <si>
    <t>Q2-15</t>
  </si>
  <si>
    <t>Q3-15</t>
  </si>
  <si>
    <t>Q4-15</t>
  </si>
  <si>
    <t>No new JI projects since 2013!</t>
  </si>
  <si>
    <t>The Pipeline was produced by Jørgen Fenhann, UNEP DTU Partnership,  1st November 2018 , jqfe@dtu.dk, Phone (+45)40202789</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</si>
</sst>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_(* \(#,##0.00\);_(* &quot;-&quot;??_);_(@_)"/>
    <numFmt numFmtId="165" formatCode="0.0"/>
    <numFmt numFmtId="166" formatCode="0.000"/>
    <numFmt numFmtId="167" formatCode="0.0%"/>
    <numFmt numFmtId="168" formatCode="[$-409]dd\-mmm\-yy;@"/>
  </numFmts>
  <fonts count="41">
    <font>
      <sz val="10"/>
      <name val="Arial"/>
    </font>
    <font>
      <sz val="10"/>
      <name val="Arial"/>
      <family val="2"/>
    </font>
    <font>
      <b/>
      <sz val="10"/>
      <name val="Arial"/>
      <family val="2"/>
    </font>
    <font>
      <sz val="10"/>
      <name val="Arial"/>
      <family val="2"/>
    </font>
    <font>
      <u/>
      <sz val="10"/>
      <color indexed="12"/>
      <name val="Arial"/>
      <family val="2"/>
    </font>
    <font>
      <b/>
      <sz val="8"/>
      <color indexed="81"/>
      <name val="Tahoma"/>
      <family val="2"/>
    </font>
    <font>
      <sz val="8"/>
      <color indexed="81"/>
      <name val="Tahoma"/>
      <family val="2"/>
    </font>
    <font>
      <b/>
      <i/>
      <sz val="10"/>
      <name val="Arial"/>
      <family val="2"/>
    </font>
    <font>
      <sz val="8"/>
      <name val="Arial"/>
      <family val="2"/>
    </font>
    <font>
      <b/>
      <sz val="10"/>
      <name val="Arial"/>
      <family val="2"/>
    </font>
    <font>
      <sz val="8"/>
      <name val="Arial"/>
      <family val="2"/>
    </font>
    <font>
      <sz val="10"/>
      <color indexed="8"/>
      <name val="Verdana"/>
      <family val="2"/>
    </font>
    <font>
      <sz val="9"/>
      <name val="Arial"/>
      <family val="2"/>
    </font>
    <font>
      <sz val="11"/>
      <name val="TimesNewRomanPSMT"/>
    </font>
    <font>
      <sz val="11"/>
      <name val="ArialMT"/>
    </font>
    <font>
      <sz val="10"/>
      <name val="TimesNewRoman"/>
    </font>
    <font>
      <sz val="10"/>
      <color indexed="81"/>
      <name val="Tahoma"/>
      <family val="2"/>
    </font>
    <font>
      <b/>
      <sz val="10"/>
      <color indexed="81"/>
      <name val="Tahoma"/>
      <family val="2"/>
    </font>
    <font>
      <sz val="9"/>
      <color indexed="81"/>
      <name val="Tahoma"/>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9"/>
      <color indexed="81"/>
      <name val="Tahoma"/>
      <family val="2"/>
    </font>
    <font>
      <sz val="10"/>
      <name val="Arial"/>
      <family val="2"/>
    </font>
    <font>
      <sz val="10.5"/>
      <name val="Times New Roman"/>
      <family val="1"/>
    </font>
    <font>
      <sz val="10"/>
      <color rgb="FFFF0000"/>
      <name val="Arial"/>
      <family val="2"/>
    </font>
    <font>
      <b/>
      <sz val="14"/>
      <name val="Arial"/>
      <family val="2"/>
    </font>
  </fonts>
  <fills count="4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
      <patternFill patternType="solid">
        <fgColor indexed="52"/>
        <bgColor indexed="64"/>
      </patternFill>
    </fill>
    <fill>
      <patternFill patternType="solid">
        <fgColor indexed="22"/>
        <bgColor indexed="64"/>
      </patternFill>
    </fill>
    <fill>
      <patternFill patternType="solid">
        <fgColor indexed="47"/>
        <bgColor indexed="64"/>
      </patternFill>
    </fill>
    <fill>
      <patternFill patternType="solid">
        <fgColor indexed="9"/>
        <bgColor indexed="64"/>
      </patternFill>
    </fill>
    <fill>
      <patternFill patternType="solid">
        <fgColor indexed="45"/>
        <bgColor indexed="64"/>
      </patternFill>
    </fill>
    <fill>
      <patternFill patternType="solid">
        <fgColor indexed="8"/>
        <bgColor indexed="64"/>
      </patternFill>
    </fill>
    <fill>
      <patternFill patternType="solid">
        <fgColor indexed="55"/>
        <bgColor indexed="64"/>
      </patternFill>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
      <patternFill patternType="solid">
        <fgColor rgb="FFFF9900"/>
        <bgColor indexed="64"/>
      </patternFill>
    </fill>
    <fill>
      <patternFill patternType="solid">
        <fgColor theme="0" tint="-0.249977111117893"/>
        <bgColor indexed="64"/>
      </patternFill>
    </fill>
    <fill>
      <patternFill patternType="solid">
        <fgColor rgb="FFD8D8D8"/>
        <bgColor indexed="64"/>
      </patternFill>
    </fill>
    <fill>
      <patternFill patternType="solid">
        <fgColor rgb="FFCC9900"/>
        <bgColor indexed="64"/>
      </patternFill>
    </fill>
    <fill>
      <patternFill patternType="solid">
        <fgColor rgb="FFFFCC99"/>
        <bgColor indexed="64"/>
      </patternFill>
    </fill>
    <fill>
      <patternFill patternType="solid">
        <fgColor rgb="FFFF0000"/>
        <bgColor indexed="64"/>
      </patternFill>
    </fill>
    <fill>
      <patternFill patternType="solid">
        <fgColor rgb="FF00FF99"/>
        <bgColor indexed="64"/>
      </patternFill>
    </fill>
  </fills>
  <borders count="3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right style="medium">
        <color indexed="64"/>
      </right>
      <top/>
      <bottom/>
      <diagonal/>
    </border>
    <border>
      <left style="thin">
        <color indexed="64"/>
      </left>
      <right style="medium">
        <color indexed="64"/>
      </right>
      <top/>
      <bottom style="thin">
        <color indexed="64"/>
      </bottom>
      <diagonal/>
    </border>
    <border>
      <left/>
      <right style="medium">
        <color indexed="64"/>
      </right>
      <top style="thin">
        <color indexed="64"/>
      </top>
      <bottom style="thin">
        <color indexed="64"/>
      </bottom>
      <diagonal/>
    </border>
  </borders>
  <cellStyleXfs count="51">
    <xf numFmtId="0" fontId="0" fillId="0" borderId="0"/>
    <xf numFmtId="0" fontId="19" fillId="2" borderId="0" applyNumberFormat="0" applyBorder="0" applyAlignment="0" applyProtection="0"/>
    <xf numFmtId="0" fontId="19" fillId="3"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5" borderId="0" applyNumberFormat="0" applyBorder="0" applyAlignment="0" applyProtection="0"/>
    <xf numFmtId="0" fontId="19" fillId="8" borderId="0" applyNumberFormat="0" applyBorder="0" applyAlignment="0" applyProtection="0"/>
    <xf numFmtId="0" fontId="19" fillId="11" borderId="0" applyNumberFormat="0" applyBorder="0" applyAlignment="0" applyProtection="0"/>
    <xf numFmtId="0" fontId="20" fillId="12"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20" fillId="15" borderId="0" applyNumberFormat="0" applyBorder="0" applyAlignment="0" applyProtection="0"/>
    <xf numFmtId="0" fontId="20" fillId="16"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20" fillId="19" borderId="0" applyNumberFormat="0" applyBorder="0" applyAlignment="0" applyProtection="0"/>
    <xf numFmtId="0" fontId="21" fillId="3" borderId="0" applyNumberFormat="0" applyBorder="0" applyAlignment="0" applyProtection="0"/>
    <xf numFmtId="0" fontId="22" fillId="20" borderId="1" applyNumberFormat="0" applyAlignment="0" applyProtection="0"/>
    <xf numFmtId="0" fontId="23" fillId="21" borderId="2" applyNumberFormat="0" applyAlignment="0" applyProtection="0"/>
    <xf numFmtId="164" fontId="1" fillId="0" borderId="0" applyFont="0" applyFill="0" applyBorder="0" applyAlignment="0" applyProtection="0"/>
    <xf numFmtId="0" fontId="24" fillId="0" borderId="0" applyNumberFormat="0" applyFill="0" applyBorder="0" applyAlignment="0" applyProtection="0"/>
    <xf numFmtId="0" fontId="25" fillId="4" borderId="0" applyNumberFormat="0" applyBorder="0" applyAlignment="0" applyProtection="0"/>
    <xf numFmtId="0" fontId="26" fillId="0" borderId="3" applyNumberFormat="0" applyFill="0" applyAlignment="0" applyProtection="0"/>
    <xf numFmtId="0" fontId="27" fillId="0" borderId="4" applyNumberFormat="0" applyFill="0" applyAlignment="0" applyProtection="0"/>
    <xf numFmtId="0" fontId="28" fillId="0" borderId="5" applyNumberFormat="0" applyFill="0" applyAlignment="0" applyProtection="0"/>
    <xf numFmtId="0" fontId="28" fillId="0" borderId="0" applyNumberFormat="0" applyFill="0" applyBorder="0" applyAlignment="0" applyProtection="0"/>
    <xf numFmtId="0" fontId="4" fillId="0" borderId="0" applyNumberFormat="0" applyFill="0" applyBorder="0" applyAlignment="0" applyProtection="0">
      <alignment vertical="top"/>
      <protection locked="0"/>
    </xf>
    <xf numFmtId="0" fontId="29" fillId="7" borderId="1" applyNumberFormat="0" applyAlignment="0" applyProtection="0"/>
    <xf numFmtId="0" fontId="30" fillId="0" borderId="6" applyNumberFormat="0" applyFill="0" applyAlignment="0" applyProtection="0"/>
    <xf numFmtId="0" fontId="31" fillId="22" borderId="0" applyNumberFormat="0" applyBorder="0" applyAlignment="0" applyProtection="0"/>
    <xf numFmtId="0" fontId="1" fillId="0" borderId="0"/>
    <xf numFmtId="0" fontId="1" fillId="23" borderId="7" applyNumberFormat="0" applyFont="0" applyAlignment="0" applyProtection="0"/>
    <xf numFmtId="0" fontId="32" fillId="20" borderId="8" applyNumberFormat="0" applyAlignment="0" applyProtection="0"/>
    <xf numFmtId="0" fontId="33" fillId="0" borderId="0" applyNumberFormat="0" applyFill="0" applyBorder="0" applyAlignment="0" applyProtection="0"/>
    <xf numFmtId="0" fontId="34" fillId="0" borderId="9" applyNumberFormat="0" applyFill="0" applyAlignment="0" applyProtection="0"/>
    <xf numFmtId="0" fontId="35" fillId="0" borderId="0" applyNumberFormat="0" applyFill="0" applyBorder="0" applyAlignment="0" applyProtection="0"/>
    <xf numFmtId="168" fontId="1" fillId="0" borderId="0"/>
    <xf numFmtId="168" fontId="37" fillId="0" borderId="0"/>
    <xf numFmtId="164" fontId="1" fillId="0" borderId="0" applyFont="0" applyFill="0" applyBorder="0" applyAlignment="0" applyProtection="0"/>
    <xf numFmtId="168" fontId="1" fillId="23" borderId="7" applyNumberFormat="0" applyFont="0" applyAlignment="0" applyProtection="0"/>
    <xf numFmtId="9" fontId="1" fillId="0" borderId="0" applyFont="0" applyFill="0" applyBorder="0" applyAlignment="0" applyProtection="0"/>
    <xf numFmtId="168" fontId="1" fillId="0" borderId="0"/>
  </cellStyleXfs>
  <cellXfs count="1130">
    <xf numFmtId="0" fontId="0" fillId="0" borderId="0" xfId="0"/>
    <xf numFmtId="0" fontId="2" fillId="0" borderId="0" xfId="0" applyFont="1"/>
    <xf numFmtId="0" fontId="0" fillId="0" borderId="10" xfId="0" applyBorder="1" applyAlignment="1">
      <alignment horizontal="right"/>
    </xf>
    <xf numFmtId="0" fontId="0" fillId="0" borderId="11" xfId="0" applyBorder="1" applyAlignment="1">
      <alignment horizontal="right"/>
    </xf>
    <xf numFmtId="0" fontId="0" fillId="0" borderId="12" xfId="0" applyBorder="1" applyAlignment="1">
      <alignment horizontal="center"/>
    </xf>
    <xf numFmtId="0" fontId="0" fillId="0" borderId="12" xfId="0" applyBorder="1"/>
    <xf numFmtId="0" fontId="0" fillId="0" borderId="10" xfId="0" applyBorder="1"/>
    <xf numFmtId="0" fontId="0" fillId="0" borderId="11" xfId="0" applyBorder="1"/>
    <xf numFmtId="0" fontId="0" fillId="0" borderId="10" xfId="0" applyFill="1" applyBorder="1"/>
    <xf numFmtId="0" fontId="0" fillId="0" borderId="11" xfId="0" applyFill="1" applyBorder="1"/>
    <xf numFmtId="0" fontId="0" fillId="0" borderId="13" xfId="0" applyBorder="1"/>
    <xf numFmtId="0" fontId="0" fillId="0" borderId="14" xfId="0" applyBorder="1"/>
    <xf numFmtId="0" fontId="0" fillId="0" borderId="15" xfId="0" applyBorder="1"/>
    <xf numFmtId="0" fontId="0" fillId="0" borderId="16" xfId="0" applyBorder="1"/>
    <xf numFmtId="0" fontId="0" fillId="24" borderId="10" xfId="0" applyFill="1" applyBorder="1"/>
    <xf numFmtId="0" fontId="0" fillId="0" borderId="10" xfId="0" applyBorder="1" applyAlignment="1">
      <alignment horizontal="center"/>
    </xf>
    <xf numFmtId="0" fontId="0" fillId="0" borderId="11" xfId="0" applyBorder="1" applyAlignment="1">
      <alignment horizontal="center"/>
    </xf>
    <xf numFmtId="0" fontId="0" fillId="0" borderId="0" xfId="0" applyBorder="1" applyAlignment="1">
      <alignment horizontal="right"/>
    </xf>
    <xf numFmtId="0" fontId="0" fillId="0" borderId="13" xfId="0" applyFill="1" applyBorder="1" applyAlignment="1">
      <alignment horizontal="center"/>
    </xf>
    <xf numFmtId="0" fontId="0" fillId="0" borderId="17" xfId="0" applyBorder="1"/>
    <xf numFmtId="0" fontId="0" fillId="0" borderId="18" xfId="0" applyBorder="1"/>
    <xf numFmtId="0" fontId="0" fillId="0" borderId="17" xfId="0" applyFill="1" applyBorder="1"/>
    <xf numFmtId="0" fontId="0" fillId="0" borderId="0" xfId="0" applyBorder="1"/>
    <xf numFmtId="0" fontId="0" fillId="0" borderId="0" xfId="0" applyFill="1" applyBorder="1"/>
    <xf numFmtId="0" fontId="0" fillId="0" borderId="19" xfId="0" applyBorder="1"/>
    <xf numFmtId="0" fontId="0" fillId="0" borderId="0" xfId="0" applyFill="1"/>
    <xf numFmtId="0" fontId="0" fillId="0" borderId="18" xfId="0" applyFill="1" applyBorder="1"/>
    <xf numFmtId="9" fontId="0" fillId="0" borderId="16" xfId="0" applyNumberFormat="1" applyBorder="1"/>
    <xf numFmtId="1" fontId="0" fillId="0" borderId="15" xfId="0" applyNumberFormat="1" applyBorder="1"/>
    <xf numFmtId="1" fontId="0" fillId="0" borderId="16" xfId="0" applyNumberFormat="1" applyBorder="1"/>
    <xf numFmtId="9" fontId="0" fillId="0" borderId="0" xfId="0" applyNumberFormat="1"/>
    <xf numFmtId="1" fontId="0" fillId="0" borderId="14" xfId="0" applyNumberFormat="1" applyBorder="1"/>
    <xf numFmtId="1" fontId="0" fillId="0" borderId="0" xfId="0" applyNumberFormat="1"/>
    <xf numFmtId="1" fontId="0" fillId="0" borderId="10" xfId="0" applyNumberFormat="1" applyBorder="1"/>
    <xf numFmtId="1" fontId="0" fillId="0" borderId="11" xfId="0" applyNumberFormat="1" applyBorder="1"/>
    <xf numFmtId="0" fontId="0" fillId="0" borderId="13" xfId="0" applyBorder="1" applyAlignment="1">
      <alignment horizontal="center"/>
    </xf>
    <xf numFmtId="0" fontId="2" fillId="0" borderId="12" xfId="0" applyFont="1" applyBorder="1"/>
    <xf numFmtId="0" fontId="2" fillId="0" borderId="10" xfId="0" applyFont="1" applyBorder="1"/>
    <xf numFmtId="0" fontId="0" fillId="0" borderId="13" xfId="0" applyFill="1" applyBorder="1"/>
    <xf numFmtId="0" fontId="2" fillId="0" borderId="17" xfId="0" applyFont="1" applyBorder="1"/>
    <xf numFmtId="0" fontId="0" fillId="0" borderId="0" xfId="0" applyAlignment="1">
      <alignment horizontal="center"/>
    </xf>
    <xf numFmtId="0" fontId="0" fillId="0" borderId="10" xfId="0" quotePrefix="1" applyBorder="1"/>
    <xf numFmtId="0" fontId="3" fillId="0" borderId="10" xfId="0" applyFont="1" applyBorder="1" applyAlignment="1">
      <alignment horizontal="right"/>
    </xf>
    <xf numFmtId="0" fontId="3" fillId="0" borderId="11" xfId="0" applyFont="1" applyBorder="1" applyAlignment="1">
      <alignment horizontal="right"/>
    </xf>
    <xf numFmtId="0" fontId="3" fillId="0" borderId="11" xfId="0" applyFont="1" applyBorder="1"/>
    <xf numFmtId="0" fontId="0" fillId="25" borderId="10" xfId="0" applyFill="1" applyBorder="1"/>
    <xf numFmtId="0" fontId="3" fillId="0" borderId="10" xfId="0" applyFont="1" applyBorder="1"/>
    <xf numFmtId="1" fontId="0" fillId="0" borderId="18" xfId="0" applyNumberFormat="1" applyBorder="1"/>
    <xf numFmtId="0" fontId="0" fillId="0" borderId="20" xfId="0" applyBorder="1" applyAlignment="1">
      <alignment horizontal="center"/>
    </xf>
    <xf numFmtId="0" fontId="0" fillId="24" borderId="10" xfId="0" applyFill="1" applyBorder="1" applyAlignment="1">
      <alignment vertical="top" wrapText="1"/>
    </xf>
    <xf numFmtId="0" fontId="0" fillId="0" borderId="0" xfId="0" applyAlignment="1">
      <alignment vertical="top" wrapText="1"/>
    </xf>
    <xf numFmtId="0" fontId="0" fillId="0" borderId="10" xfId="0" applyFill="1"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0" fillId="0" borderId="17" xfId="0" applyFill="1" applyBorder="1" applyAlignment="1">
      <alignment vertical="top" wrapText="1"/>
    </xf>
    <xf numFmtId="0" fontId="0" fillId="0" borderId="17" xfId="0" applyBorder="1" applyAlignment="1">
      <alignment vertical="top" wrapText="1"/>
    </xf>
    <xf numFmtId="0" fontId="0" fillId="0" borderId="10" xfId="0" applyFill="1" applyBorder="1" applyAlignment="1">
      <alignment horizontal="center" vertical="top" wrapText="1"/>
    </xf>
    <xf numFmtId="0" fontId="0" fillId="0" borderId="0" xfId="0" applyFill="1" applyAlignment="1">
      <alignment vertical="top" wrapText="1"/>
    </xf>
    <xf numFmtId="0" fontId="0" fillId="0" borderId="17" xfId="0" applyBorder="1" applyAlignment="1">
      <alignment horizontal="center" vertical="top" wrapText="1"/>
    </xf>
    <xf numFmtId="0" fontId="0" fillId="0" borderId="0" xfId="0" applyBorder="1" applyAlignment="1">
      <alignment vertical="top" wrapText="1"/>
    </xf>
    <xf numFmtId="0" fontId="3" fillId="0" borderId="10" xfId="0" applyFont="1" applyBorder="1" applyAlignment="1">
      <alignment horizontal="center" vertical="top" wrapText="1"/>
    </xf>
    <xf numFmtId="0" fontId="0" fillId="0" borderId="17" xfId="0" applyFill="1" applyBorder="1" applyAlignment="1">
      <alignment horizontal="center" vertical="top" wrapText="1"/>
    </xf>
    <xf numFmtId="0" fontId="3" fillId="0" borderId="0" xfId="0" applyFont="1" applyFill="1" applyAlignment="1">
      <alignment vertical="top" wrapText="1"/>
    </xf>
    <xf numFmtId="0" fontId="0" fillId="0" borderId="0" xfId="0" applyFill="1" applyBorder="1" applyAlignment="1">
      <alignment vertical="top" wrapText="1"/>
    </xf>
    <xf numFmtId="0" fontId="3" fillId="0" borderId="10" xfId="0" applyFont="1" applyFill="1" applyBorder="1" applyAlignment="1">
      <alignment vertical="top" wrapText="1"/>
    </xf>
    <xf numFmtId="0" fontId="0" fillId="0" borderId="20" xfId="0" applyFill="1" applyBorder="1" applyAlignment="1">
      <alignment horizontal="center"/>
    </xf>
    <xf numFmtId="0" fontId="0" fillId="0" borderId="12" xfId="0" applyBorder="1" applyAlignment="1">
      <alignment vertical="top" wrapText="1"/>
    </xf>
    <xf numFmtId="0" fontId="0" fillId="0" borderId="21" xfId="0" applyBorder="1"/>
    <xf numFmtId="0" fontId="3" fillId="0" borderId="10" xfId="0" applyFont="1" applyFill="1" applyBorder="1" applyAlignment="1">
      <alignment horizontal="center" vertical="top" wrapText="1"/>
    </xf>
    <xf numFmtId="0" fontId="0" fillId="0" borderId="0" xfId="0" applyFill="1" applyAlignment="1">
      <alignment horizontal="center"/>
    </xf>
    <xf numFmtId="0" fontId="2" fillId="0" borderId="0" xfId="0" applyFont="1" applyFill="1"/>
    <xf numFmtId="165" fontId="0" fillId="0" borderId="0" xfId="0" applyNumberFormat="1"/>
    <xf numFmtId="165" fontId="0" fillId="0" borderId="0" xfId="0" applyNumberFormat="1" applyFill="1"/>
    <xf numFmtId="1" fontId="0" fillId="0" borderId="0" xfId="0" applyNumberFormat="1" applyFill="1"/>
    <xf numFmtId="0" fontId="0" fillId="0" borderId="22" xfId="0" applyBorder="1"/>
    <xf numFmtId="0" fontId="2" fillId="0" borderId="13" xfId="0" applyFont="1" applyBorder="1" applyAlignment="1">
      <alignment horizontal="center"/>
    </xf>
    <xf numFmtId="0" fontId="0" fillId="26" borderId="10" xfId="0" applyFill="1" applyBorder="1"/>
    <xf numFmtId="0" fontId="0" fillId="27" borderId="10" xfId="0" applyFill="1" applyBorder="1" applyAlignment="1">
      <alignment vertical="top" wrapText="1"/>
    </xf>
    <xf numFmtId="0" fontId="3" fillId="27" borderId="10" xfId="0" applyFont="1" applyFill="1" applyBorder="1"/>
    <xf numFmtId="0" fontId="0" fillId="27" borderId="10" xfId="0" applyFill="1" applyBorder="1"/>
    <xf numFmtId="0" fontId="3" fillId="0" borderId="13" xfId="0" applyFont="1" applyFill="1" applyBorder="1"/>
    <xf numFmtId="0" fontId="2" fillId="0" borderId="19" xfId="0" applyFont="1" applyBorder="1" applyAlignment="1">
      <alignment horizontal="center"/>
    </xf>
    <xf numFmtId="0" fontId="2" fillId="0" borderId="12" xfId="0" applyFont="1" applyBorder="1" applyAlignment="1">
      <alignment horizontal="center"/>
    </xf>
    <xf numFmtId="0" fontId="8" fillId="0" borderId="0" xfId="0" applyFont="1" applyFill="1" applyBorder="1"/>
    <xf numFmtId="0" fontId="2" fillId="0" borderId="0" xfId="0" applyFont="1" applyBorder="1" applyAlignment="1">
      <alignment horizontal="center"/>
    </xf>
    <xf numFmtId="0" fontId="0" fillId="0" borderId="18" xfId="0" applyBorder="1" applyAlignment="1">
      <alignment horizontal="right"/>
    </xf>
    <xf numFmtId="0" fontId="8" fillId="0" borderId="17" xfId="0" applyFont="1" applyFill="1" applyBorder="1"/>
    <xf numFmtId="167" fontId="0" fillId="0" borderId="13" xfId="0" applyNumberFormat="1" applyBorder="1"/>
    <xf numFmtId="1" fontId="0" fillId="0" borderId="22" xfId="0" applyNumberFormat="1" applyBorder="1"/>
    <xf numFmtId="9" fontId="0" fillId="0" borderId="14" xfId="0" applyNumberFormat="1" applyBorder="1"/>
    <xf numFmtId="1" fontId="0" fillId="0" borderId="17" xfId="0" applyNumberFormat="1" applyBorder="1"/>
    <xf numFmtId="9" fontId="0" fillId="0" borderId="15" xfId="0" applyNumberFormat="1" applyBorder="1"/>
    <xf numFmtId="165" fontId="0" fillId="0" borderId="10" xfId="0" applyNumberFormat="1" applyFill="1" applyBorder="1" applyAlignment="1">
      <alignment vertical="top" wrapText="1"/>
    </xf>
    <xf numFmtId="1" fontId="0" fillId="0" borderId="21" xfId="0" applyNumberFormat="1" applyBorder="1"/>
    <xf numFmtId="1" fontId="0" fillId="0" borderId="0" xfId="0" applyNumberFormat="1" applyBorder="1"/>
    <xf numFmtId="1" fontId="0" fillId="0" borderId="19" xfId="0" applyNumberFormat="1" applyBorder="1"/>
    <xf numFmtId="1" fontId="0" fillId="0" borderId="13" xfId="0" applyNumberFormat="1" applyBorder="1"/>
    <xf numFmtId="0" fontId="0" fillId="0" borderId="0" xfId="0" applyBorder="1" applyAlignment="1">
      <alignment horizontal="center"/>
    </xf>
    <xf numFmtId="0" fontId="2" fillId="0" borderId="11" xfId="0" applyFont="1" applyBorder="1" applyAlignment="1">
      <alignment horizontal="center"/>
    </xf>
    <xf numFmtId="0" fontId="0" fillId="0" borderId="23" xfId="0" applyBorder="1"/>
    <xf numFmtId="0" fontId="3" fillId="27" borderId="10" xfId="0" applyFont="1" applyFill="1" applyBorder="1" applyAlignment="1">
      <alignment vertical="top" wrapText="1"/>
    </xf>
    <xf numFmtId="14" fontId="0" fillId="0" borderId="13" xfId="0" applyNumberFormat="1" applyFill="1" applyBorder="1" applyAlignment="1">
      <alignment horizontal="center"/>
    </xf>
    <xf numFmtId="17" fontId="0" fillId="0" borderId="14" xfId="0" applyNumberFormat="1" applyBorder="1"/>
    <xf numFmtId="17" fontId="0" fillId="0" borderId="21" xfId="0" applyNumberFormat="1" applyBorder="1"/>
    <xf numFmtId="17" fontId="0" fillId="0" borderId="22" xfId="0" applyNumberFormat="1" applyBorder="1"/>
    <xf numFmtId="1" fontId="0" fillId="26" borderId="10" xfId="0" applyNumberFormat="1" applyFill="1" applyBorder="1"/>
    <xf numFmtId="1" fontId="0" fillId="0" borderId="11" xfId="0" applyNumberFormat="1" applyFill="1" applyBorder="1"/>
    <xf numFmtId="1" fontId="0" fillId="26" borderId="12" xfId="0" applyNumberFormat="1" applyFill="1" applyBorder="1"/>
    <xf numFmtId="0" fontId="0" fillId="0" borderId="24" xfId="0" applyBorder="1"/>
    <xf numFmtId="1" fontId="0" fillId="0" borderId="23" xfId="0" applyNumberFormat="1" applyBorder="1"/>
    <xf numFmtId="1" fontId="0" fillId="0" borderId="24" xfId="0" applyNumberFormat="1" applyBorder="1"/>
    <xf numFmtId="1" fontId="0" fillId="0" borderId="20" xfId="0" applyNumberFormat="1" applyBorder="1"/>
    <xf numFmtId="1" fontId="0" fillId="0" borderId="24" xfId="0" applyNumberFormat="1" applyFill="1" applyBorder="1"/>
    <xf numFmtId="0" fontId="2" fillId="0" borderId="23" xfId="0" applyFont="1" applyBorder="1" applyAlignment="1">
      <alignment horizontal="center"/>
    </xf>
    <xf numFmtId="0" fontId="2" fillId="0" borderId="20" xfId="0" applyFont="1" applyBorder="1" applyAlignment="1">
      <alignment horizontal="center"/>
    </xf>
    <xf numFmtId="0" fontId="0" fillId="26" borderId="11" xfId="0" applyFill="1" applyBorder="1"/>
    <xf numFmtId="0" fontId="0" fillId="0" borderId="0" xfId="0" applyFill="1" applyBorder="1" applyAlignment="1">
      <alignment wrapText="1"/>
    </xf>
    <xf numFmtId="0" fontId="0" fillId="0" borderId="14" xfId="0" applyBorder="1" applyAlignment="1">
      <alignment horizontal="center"/>
    </xf>
    <xf numFmtId="1" fontId="0" fillId="0" borderId="0" xfId="0" applyNumberFormat="1" applyFill="1" applyBorder="1"/>
    <xf numFmtId="1" fontId="0" fillId="0" borderId="17" xfId="0" applyNumberFormat="1" applyFill="1" applyBorder="1"/>
    <xf numFmtId="0" fontId="2" fillId="0" borderId="22" xfId="0" applyFont="1" applyBorder="1"/>
    <xf numFmtId="0" fontId="2" fillId="0" borderId="21" xfId="0" applyFont="1" applyBorder="1" applyAlignment="1">
      <alignment horizontal="center"/>
    </xf>
    <xf numFmtId="15" fontId="0" fillId="0" borderId="10" xfId="0" applyNumberFormat="1" applyFill="1" applyBorder="1" applyAlignment="1">
      <alignment horizontal="center" vertical="top" wrapText="1"/>
    </xf>
    <xf numFmtId="9" fontId="0" fillId="0" borderId="0" xfId="0" applyNumberFormat="1" applyBorder="1"/>
    <xf numFmtId="0" fontId="0" fillId="25" borderId="10" xfId="0" applyFill="1" applyBorder="1" applyAlignment="1">
      <alignment vertical="top" wrapText="1"/>
    </xf>
    <xf numFmtId="0" fontId="3" fillId="0" borderId="17" xfId="0" applyFont="1" applyBorder="1"/>
    <xf numFmtId="165" fontId="3" fillId="0" borderId="10" xfId="0" applyNumberFormat="1" applyFont="1" applyFill="1" applyBorder="1" applyAlignment="1">
      <alignment vertical="top" wrapText="1"/>
    </xf>
    <xf numFmtId="1" fontId="0" fillId="0" borderId="14" xfId="0" applyNumberFormat="1" applyBorder="1" applyAlignment="1">
      <alignment horizontal="center"/>
    </xf>
    <xf numFmtId="0" fontId="3" fillId="0" borderId="18" xfId="0" applyFont="1" applyBorder="1"/>
    <xf numFmtId="0" fontId="0" fillId="0" borderId="23" xfId="0" applyFill="1" applyBorder="1"/>
    <xf numFmtId="0" fontId="0" fillId="0" borderId="20" xfId="0" applyBorder="1"/>
    <xf numFmtId="165" fontId="0" fillId="0" borderId="24" xfId="0" applyNumberFormat="1" applyBorder="1"/>
    <xf numFmtId="0" fontId="2" fillId="0" borderId="17" xfId="0" applyFont="1" applyBorder="1" applyAlignment="1">
      <alignment horizontal="center"/>
    </xf>
    <xf numFmtId="1" fontId="2" fillId="0" borderId="21" xfId="0" applyNumberFormat="1" applyFont="1" applyBorder="1"/>
    <xf numFmtId="1" fontId="2" fillId="0" borderId="22" xfId="0" applyNumberFormat="1" applyFont="1" applyBorder="1"/>
    <xf numFmtId="167" fontId="0" fillId="0" borderId="15" xfId="0" applyNumberFormat="1" applyBorder="1"/>
    <xf numFmtId="0" fontId="1" fillId="0" borderId="17" xfId="0" applyFont="1" applyFill="1" applyBorder="1"/>
    <xf numFmtId="1" fontId="3" fillId="0" borderId="0" xfId="0" applyNumberFormat="1" applyFont="1" applyBorder="1"/>
    <xf numFmtId="1" fontId="2" fillId="0" borderId="14" xfId="0" applyNumberFormat="1" applyFont="1" applyBorder="1"/>
    <xf numFmtId="1" fontId="2" fillId="0" borderId="0" xfId="0" applyNumberFormat="1" applyFont="1" applyBorder="1"/>
    <xf numFmtId="0" fontId="7" fillId="0" borderId="23" xfId="0" applyFont="1" applyFill="1" applyBorder="1"/>
    <xf numFmtId="0" fontId="2" fillId="0" borderId="0" xfId="0" applyFont="1" applyBorder="1"/>
    <xf numFmtId="9" fontId="0" fillId="0" borderId="21" xfId="0" applyNumberFormat="1" applyBorder="1"/>
    <xf numFmtId="9" fontId="0" fillId="0" borderId="19" xfId="0" applyNumberFormat="1" applyBorder="1"/>
    <xf numFmtId="9" fontId="0" fillId="0" borderId="20" xfId="0" applyNumberFormat="1" applyBorder="1"/>
    <xf numFmtId="165" fontId="2" fillId="0" borderId="0" xfId="0" applyNumberFormat="1" applyFont="1"/>
    <xf numFmtId="9" fontId="2" fillId="0" borderId="0" xfId="0" applyNumberFormat="1" applyFont="1"/>
    <xf numFmtId="1" fontId="2" fillId="0" borderId="0" xfId="0" applyNumberFormat="1" applyFont="1" applyFill="1" applyBorder="1"/>
    <xf numFmtId="167" fontId="2" fillId="0" borderId="21" xfId="0" applyNumberFormat="1" applyFont="1" applyBorder="1"/>
    <xf numFmtId="167" fontId="0" fillId="0" borderId="0" xfId="0" applyNumberFormat="1" applyBorder="1"/>
    <xf numFmtId="167" fontId="0" fillId="0" borderId="0" xfId="0" applyNumberFormat="1" applyFill="1" applyBorder="1"/>
    <xf numFmtId="1" fontId="0" fillId="0" borderId="12" xfId="0" applyNumberFormat="1" applyBorder="1"/>
    <xf numFmtId="167" fontId="2" fillId="0" borderId="21" xfId="0" applyNumberFormat="1" applyFont="1" applyFill="1" applyBorder="1"/>
    <xf numFmtId="0" fontId="3" fillId="0" borderId="0" xfId="0" applyFont="1"/>
    <xf numFmtId="0" fontId="0" fillId="0" borderId="13" xfId="0" applyBorder="1" applyAlignment="1">
      <alignment vertical="top"/>
    </xf>
    <xf numFmtId="0" fontId="2" fillId="0" borderId="21" xfId="0" applyFont="1" applyBorder="1"/>
    <xf numFmtId="0" fontId="3" fillId="0" borderId="0" xfId="0" applyFont="1" applyBorder="1"/>
    <xf numFmtId="1" fontId="2" fillId="0" borderId="17" xfId="0" applyNumberFormat="1" applyFont="1" applyBorder="1"/>
    <xf numFmtId="1" fontId="2" fillId="0" borderId="12" xfId="0" applyNumberFormat="1" applyFont="1" applyBorder="1"/>
    <xf numFmtId="1" fontId="2" fillId="0" borderId="23" xfId="0" applyNumberFormat="1" applyFont="1" applyBorder="1"/>
    <xf numFmtId="1" fontId="2" fillId="0" borderId="24" xfId="0" applyNumberFormat="1" applyFont="1" applyBorder="1"/>
    <xf numFmtId="9" fontId="0" fillId="0" borderId="24" xfId="0" applyNumberFormat="1" applyBorder="1"/>
    <xf numFmtId="9" fontId="0" fillId="0" borderId="10" xfId="0" applyNumberFormat="1" applyBorder="1"/>
    <xf numFmtId="9" fontId="0" fillId="0" borderId="11" xfId="0" applyNumberFormat="1" applyBorder="1"/>
    <xf numFmtId="1" fontId="2" fillId="0" borderId="0" xfId="0" applyNumberFormat="1" applyFont="1"/>
    <xf numFmtId="9" fontId="0" fillId="0" borderId="23" xfId="0" applyNumberFormat="1" applyBorder="1"/>
    <xf numFmtId="1" fontId="0" fillId="0" borderId="13" xfId="0" applyNumberFormat="1" applyBorder="1" applyAlignment="1">
      <alignment horizontal="center"/>
    </xf>
    <xf numFmtId="1" fontId="0" fillId="0" borderId="23" xfId="0" applyNumberFormat="1" applyBorder="1" applyAlignment="1">
      <alignment horizontal="center"/>
    </xf>
    <xf numFmtId="1" fontId="0" fillId="0" borderId="24" xfId="0" applyNumberFormat="1" applyBorder="1" applyAlignment="1">
      <alignment horizontal="center"/>
    </xf>
    <xf numFmtId="1" fontId="0" fillId="0" borderId="20" xfId="0" applyNumberFormat="1" applyBorder="1" applyAlignment="1">
      <alignment horizontal="center"/>
    </xf>
    <xf numFmtId="1" fontId="0" fillId="0" borderId="19" xfId="0" applyNumberFormat="1" applyFill="1" applyBorder="1"/>
    <xf numFmtId="1" fontId="2" fillId="0" borderId="24" xfId="0" applyNumberFormat="1" applyFont="1" applyFill="1" applyBorder="1"/>
    <xf numFmtId="0" fontId="3" fillId="0" borderId="0" xfId="0" applyFont="1" applyFill="1" applyBorder="1"/>
    <xf numFmtId="0" fontId="3" fillId="28" borderId="0" xfId="0" applyFont="1" applyFill="1" applyBorder="1"/>
    <xf numFmtId="1" fontId="0" fillId="0" borderId="17" xfId="0" applyNumberFormat="1" applyBorder="1" applyAlignment="1">
      <alignment horizontal="right"/>
    </xf>
    <xf numFmtId="1" fontId="0" fillId="0" borderId="10" xfId="0" applyNumberFormat="1" applyBorder="1" applyAlignment="1">
      <alignment horizontal="right"/>
    </xf>
    <xf numFmtId="17" fontId="0" fillId="0" borderId="24" xfId="0" applyNumberFormat="1" applyBorder="1"/>
    <xf numFmtId="0" fontId="2" fillId="0" borderId="14" xfId="0" applyFont="1" applyBorder="1"/>
    <xf numFmtId="9" fontId="0" fillId="0" borderId="22" xfId="0" applyNumberFormat="1" applyBorder="1"/>
    <xf numFmtId="9" fontId="0" fillId="0" borderId="17" xfId="0" applyNumberFormat="1" applyBorder="1"/>
    <xf numFmtId="9" fontId="0" fillId="0" borderId="18" xfId="0" applyNumberFormat="1" applyBorder="1"/>
    <xf numFmtId="9" fontId="2" fillId="0" borderId="21" xfId="0" applyNumberFormat="1" applyFont="1" applyBorder="1" applyAlignment="1"/>
    <xf numFmtId="0" fontId="2" fillId="0" borderId="23" xfId="0" applyFont="1" applyBorder="1"/>
    <xf numFmtId="9" fontId="2" fillId="0" borderId="24" xfId="0" applyNumberFormat="1" applyFont="1" applyBorder="1"/>
    <xf numFmtId="0" fontId="2" fillId="0" borderId="24" xfId="0" applyFont="1" applyBorder="1" applyAlignment="1">
      <alignment horizontal="center"/>
    </xf>
    <xf numFmtId="1" fontId="0" fillId="0" borderId="14" xfId="0" applyNumberFormat="1" applyBorder="1" applyAlignment="1">
      <alignment horizontal="right"/>
    </xf>
    <xf numFmtId="1" fontId="0" fillId="0" borderId="15" xfId="0" applyNumberFormat="1" applyBorder="1" applyAlignment="1">
      <alignment horizontal="right"/>
    </xf>
    <xf numFmtId="165" fontId="0" fillId="0" borderId="22" xfId="0" applyNumberFormat="1" applyBorder="1"/>
    <xf numFmtId="165" fontId="0" fillId="0" borderId="21" xfId="0" applyNumberFormat="1" applyBorder="1"/>
    <xf numFmtId="165" fontId="0" fillId="0" borderId="18" xfId="0" applyNumberFormat="1" applyBorder="1"/>
    <xf numFmtId="165" fontId="0" fillId="0" borderId="19" xfId="0" applyNumberFormat="1" applyBorder="1"/>
    <xf numFmtId="0" fontId="1" fillId="0" borderId="0" xfId="0" applyFont="1"/>
    <xf numFmtId="0" fontId="0" fillId="0" borderId="18" xfId="0" applyBorder="1" applyAlignment="1">
      <alignment vertical="top" wrapText="1"/>
    </xf>
    <xf numFmtId="15" fontId="0" fillId="0" borderId="13" xfId="0" applyNumberFormat="1" applyFill="1" applyBorder="1" applyAlignment="1">
      <alignment horizontal="center"/>
    </xf>
    <xf numFmtId="1" fontId="3" fillId="0" borderId="0" xfId="0" applyNumberFormat="1" applyFont="1"/>
    <xf numFmtId="0" fontId="0" fillId="0" borderId="20" xfId="0" applyFill="1" applyBorder="1" applyAlignment="1">
      <alignment horizontal="center" wrapText="1"/>
    </xf>
    <xf numFmtId="17" fontId="0" fillId="0" borderId="15" xfId="0" applyNumberFormat="1" applyBorder="1" applyAlignment="1">
      <alignment horizontal="center"/>
    </xf>
    <xf numFmtId="0" fontId="0" fillId="0" borderId="23" xfId="0" applyBorder="1" applyAlignment="1">
      <alignment horizontal="center"/>
    </xf>
    <xf numFmtId="165" fontId="0" fillId="0" borderId="17" xfId="0" applyNumberFormat="1" applyFill="1" applyBorder="1" applyAlignment="1">
      <alignment vertical="top" wrapText="1"/>
    </xf>
    <xf numFmtId="165" fontId="0" fillId="0" borderId="0" xfId="0" applyNumberFormat="1" applyBorder="1"/>
    <xf numFmtId="165" fontId="0" fillId="0" borderId="17" xfId="0" applyNumberFormat="1" applyBorder="1"/>
    <xf numFmtId="165" fontId="0" fillId="0" borderId="23" xfId="0" applyNumberFormat="1" applyBorder="1"/>
    <xf numFmtId="0" fontId="0" fillId="26" borderId="13" xfId="0" applyFill="1" applyBorder="1"/>
    <xf numFmtId="167" fontId="0" fillId="0" borderId="0" xfId="0" applyNumberFormat="1"/>
    <xf numFmtId="0" fontId="2" fillId="0" borderId="10" xfId="0" applyFont="1" applyBorder="1" applyAlignment="1">
      <alignment horizontal="center"/>
    </xf>
    <xf numFmtId="165" fontId="0" fillId="0" borderId="24" xfId="0" applyNumberFormat="1" applyFill="1" applyBorder="1"/>
    <xf numFmtId="0" fontId="0" fillId="0" borderId="22" xfId="0" applyFill="1" applyBorder="1"/>
    <xf numFmtId="0" fontId="3" fillId="25" borderId="10" xfId="0" applyFont="1" applyFill="1" applyBorder="1" applyAlignment="1">
      <alignment vertical="top" wrapText="1"/>
    </xf>
    <xf numFmtId="0" fontId="12" fillId="0" borderId="0" xfId="0" applyFont="1"/>
    <xf numFmtId="1" fontId="2" fillId="0" borderId="13" xfId="0" applyNumberFormat="1" applyFont="1" applyBorder="1"/>
    <xf numFmtId="1" fontId="1" fillId="0" borderId="17" xfId="0" applyNumberFormat="1" applyFont="1" applyBorder="1"/>
    <xf numFmtId="1" fontId="1" fillId="0" borderId="0" xfId="0" applyNumberFormat="1" applyFont="1" applyBorder="1"/>
    <xf numFmtId="1" fontId="1" fillId="0" borderId="15" xfId="0" applyNumberFormat="1" applyFont="1" applyBorder="1"/>
    <xf numFmtId="1" fontId="1" fillId="0" borderId="22" xfId="0" applyNumberFormat="1" applyFont="1" applyBorder="1"/>
    <xf numFmtId="1" fontId="1" fillId="0" borderId="21" xfId="0" applyNumberFormat="1" applyFont="1" applyBorder="1"/>
    <xf numFmtId="1" fontId="1" fillId="0" borderId="14" xfId="0" applyNumberFormat="1" applyFont="1" applyBorder="1"/>
    <xf numFmtId="167" fontId="1" fillId="0" borderId="0" xfId="0" applyNumberFormat="1" applyFont="1" applyBorder="1"/>
    <xf numFmtId="1" fontId="1" fillId="0" borderId="12" xfId="0" applyNumberFormat="1" applyFont="1" applyBorder="1"/>
    <xf numFmtId="1" fontId="1" fillId="0" borderId="10" xfId="0" applyNumberFormat="1" applyFont="1" applyBorder="1"/>
    <xf numFmtId="0" fontId="1" fillId="0" borderId="17" xfId="0" applyFont="1" applyBorder="1"/>
    <xf numFmtId="0" fontId="1" fillId="0" borderId="17" xfId="0" applyFont="1" applyBorder="1" applyAlignment="1">
      <alignment vertical="top" wrapText="1"/>
    </xf>
    <xf numFmtId="1" fontId="1" fillId="0" borderId="17" xfId="0" applyNumberFormat="1" applyFont="1" applyFill="1" applyBorder="1"/>
    <xf numFmtId="1" fontId="1" fillId="0" borderId="0" xfId="0" applyNumberFormat="1" applyFont="1" applyFill="1" applyBorder="1"/>
    <xf numFmtId="1" fontId="1" fillId="0" borderId="15" xfId="0" applyNumberFormat="1" applyFont="1" applyFill="1" applyBorder="1"/>
    <xf numFmtId="1" fontId="1" fillId="0" borderId="10" xfId="0" applyNumberFormat="1" applyFont="1" applyFill="1" applyBorder="1"/>
    <xf numFmtId="1" fontId="1" fillId="0" borderId="11" xfId="0" applyNumberFormat="1" applyFont="1" applyFill="1" applyBorder="1"/>
    <xf numFmtId="0" fontId="9" fillId="0" borderId="23" xfId="0" applyFont="1" applyBorder="1"/>
    <xf numFmtId="1" fontId="9" fillId="0" borderId="23" xfId="0" applyNumberFormat="1" applyFont="1" applyBorder="1"/>
    <xf numFmtId="1" fontId="9" fillId="0" borderId="24" xfId="0" applyNumberFormat="1" applyFont="1" applyBorder="1"/>
    <xf numFmtId="1" fontId="9" fillId="0" borderId="20" xfId="0" applyNumberFormat="1" applyFont="1" applyBorder="1"/>
    <xf numFmtId="9" fontId="9" fillId="0" borderId="24" xfId="0" applyNumberFormat="1" applyFont="1" applyBorder="1" applyAlignment="1"/>
    <xf numFmtId="1" fontId="9" fillId="0" borderId="13" xfId="0" applyNumberFormat="1" applyFont="1" applyBorder="1"/>
    <xf numFmtId="0" fontId="2" fillId="27" borderId="10" xfId="0" applyFont="1" applyFill="1" applyBorder="1"/>
    <xf numFmtId="0" fontId="0" fillId="26" borderId="12" xfId="0" applyFill="1" applyBorder="1"/>
    <xf numFmtId="1" fontId="2" fillId="0" borderId="10" xfId="0" applyNumberFormat="1" applyFont="1" applyBorder="1"/>
    <xf numFmtId="15" fontId="0" fillId="0" borderId="0" xfId="0" applyNumberFormat="1" applyAlignment="1">
      <alignment horizontal="center"/>
    </xf>
    <xf numFmtId="1" fontId="2" fillId="0" borderId="20" xfId="0" applyNumberFormat="1" applyFont="1" applyBorder="1"/>
    <xf numFmtId="167" fontId="0" fillId="0" borderId="16" xfId="0" applyNumberFormat="1" applyBorder="1"/>
    <xf numFmtId="165" fontId="0" fillId="0" borderId="20" xfId="0" applyNumberFormat="1" applyFill="1" applyBorder="1"/>
    <xf numFmtId="0" fontId="3" fillId="0" borderId="15" xfId="0" applyFont="1" applyBorder="1"/>
    <xf numFmtId="167" fontId="0" fillId="0" borderId="0" xfId="0" applyNumberFormat="1" applyAlignment="1">
      <alignment horizontal="left"/>
    </xf>
    <xf numFmtId="14" fontId="3" fillId="0" borderId="13" xfId="0" applyNumberFormat="1" applyFont="1" applyFill="1" applyBorder="1" applyAlignment="1">
      <alignment horizontal="center" wrapText="1"/>
    </xf>
    <xf numFmtId="0" fontId="2" fillId="27" borderId="10" xfId="0" applyFont="1" applyFill="1" applyBorder="1" applyAlignment="1">
      <alignment vertical="top" wrapText="1"/>
    </xf>
    <xf numFmtId="0" fontId="2" fillId="24" borderId="11" xfId="0" applyFont="1" applyFill="1" applyBorder="1" applyAlignment="1">
      <alignment vertical="top" wrapText="1"/>
    </xf>
    <xf numFmtId="9" fontId="2" fillId="0" borderId="20" xfId="0" applyNumberFormat="1" applyFont="1" applyBorder="1"/>
    <xf numFmtId="0" fontId="7" fillId="0" borderId="13" xfId="0" applyFont="1" applyFill="1" applyBorder="1"/>
    <xf numFmtId="0" fontId="3" fillId="0" borderId="0" xfId="0" applyFont="1" applyFill="1" applyBorder="1" applyAlignment="1">
      <alignment vertical="top" wrapText="1"/>
    </xf>
    <xf numFmtId="0" fontId="2" fillId="0" borderId="12" xfId="0" applyFont="1" applyBorder="1" applyAlignment="1">
      <alignment horizontal="right"/>
    </xf>
    <xf numFmtId="9" fontId="0" fillId="0" borderId="22" xfId="0" applyNumberFormat="1" applyFill="1" applyBorder="1"/>
    <xf numFmtId="0" fontId="3" fillId="0" borderId="17" xfId="0" applyFont="1" applyFill="1" applyBorder="1"/>
    <xf numFmtId="0" fontId="2" fillId="0" borderId="22" xfId="0" applyFont="1" applyFill="1" applyBorder="1"/>
    <xf numFmtId="167" fontId="0" fillId="0" borderId="19" xfId="0" applyNumberFormat="1" applyBorder="1"/>
    <xf numFmtId="1" fontId="2" fillId="0" borderId="21" xfId="0" applyNumberFormat="1" applyFont="1" applyFill="1" applyBorder="1"/>
    <xf numFmtId="0" fontId="2" fillId="0" borderId="24" xfId="0" applyFont="1" applyBorder="1"/>
    <xf numFmtId="0" fontId="2" fillId="0" borderId="13" xfId="0" applyFont="1" applyBorder="1"/>
    <xf numFmtId="0" fontId="3" fillId="0" borderId="10" xfId="0" applyFont="1" applyFill="1" applyBorder="1"/>
    <xf numFmtId="0" fontId="2" fillId="0" borderId="20" xfId="0" applyFont="1" applyBorder="1"/>
    <xf numFmtId="0" fontId="2" fillId="26" borderId="14" xfId="0" applyFont="1" applyFill="1" applyBorder="1"/>
    <xf numFmtId="0" fontId="0" fillId="26" borderId="15" xfId="0" applyFill="1" applyBorder="1"/>
    <xf numFmtId="0" fontId="7" fillId="0" borderId="0" xfId="0" applyFont="1" applyFill="1" applyBorder="1"/>
    <xf numFmtId="0" fontId="2" fillId="26" borderId="12" xfId="0" applyFont="1" applyFill="1" applyBorder="1" applyAlignment="1">
      <alignment horizontal="center"/>
    </xf>
    <xf numFmtId="0" fontId="0" fillId="26" borderId="10" xfId="0" applyFill="1" applyBorder="1" applyAlignment="1">
      <alignment horizontal="center"/>
    </xf>
    <xf numFmtId="0" fontId="0" fillId="26" borderId="11" xfId="0" applyFill="1" applyBorder="1" applyAlignment="1">
      <alignment horizontal="center"/>
    </xf>
    <xf numFmtId="0" fontId="0" fillId="0" borderId="17" xfId="0" applyBorder="1" applyAlignment="1">
      <alignment horizontal="right"/>
    </xf>
    <xf numFmtId="0" fontId="0" fillId="0" borderId="15" xfId="0" applyBorder="1" applyAlignment="1">
      <alignment horizontal="right"/>
    </xf>
    <xf numFmtId="0" fontId="0" fillId="0" borderId="0" xfId="0" applyAlignment="1">
      <alignment horizontal="right"/>
    </xf>
    <xf numFmtId="0" fontId="2" fillId="0" borderId="11" xfId="0" applyFont="1" applyBorder="1" applyAlignment="1">
      <alignment horizontal="right"/>
    </xf>
    <xf numFmtId="1" fontId="2" fillId="0" borderId="12" xfId="0" applyNumberFormat="1" applyFont="1" applyBorder="1" applyAlignment="1">
      <alignment horizontal="right"/>
    </xf>
    <xf numFmtId="1" fontId="3" fillId="0" borderId="10" xfId="0" applyNumberFormat="1" applyFont="1" applyBorder="1" applyAlignment="1">
      <alignment horizontal="right"/>
    </xf>
    <xf numFmtId="1" fontId="3" fillId="0" borderId="11" xfId="0" applyNumberFormat="1" applyFont="1" applyBorder="1" applyAlignment="1">
      <alignment horizontal="right"/>
    </xf>
    <xf numFmtId="1" fontId="2" fillId="0" borderId="11" xfId="0" applyNumberFormat="1" applyFont="1" applyBorder="1" applyAlignment="1">
      <alignment horizontal="right"/>
    </xf>
    <xf numFmtId="1" fontId="2" fillId="0" borderId="21" xfId="0" applyNumberFormat="1" applyFont="1" applyBorder="1" applyAlignment="1">
      <alignment horizontal="right"/>
    </xf>
    <xf numFmtId="1" fontId="0" fillId="0" borderId="0" xfId="0" applyNumberFormat="1" applyBorder="1" applyAlignment="1">
      <alignment horizontal="right"/>
    </xf>
    <xf numFmtId="1" fontId="2" fillId="0" borderId="22" xfId="0" applyNumberFormat="1" applyFont="1" applyBorder="1" applyAlignment="1">
      <alignment horizontal="right"/>
    </xf>
    <xf numFmtId="1" fontId="2" fillId="0" borderId="14" xfId="0" applyNumberFormat="1" applyFont="1" applyBorder="1" applyAlignment="1">
      <alignment horizontal="right"/>
    </xf>
    <xf numFmtId="1" fontId="3" fillId="0" borderId="17" xfId="0" applyNumberFormat="1" applyFont="1" applyBorder="1" applyAlignment="1">
      <alignment horizontal="right"/>
    </xf>
    <xf numFmtId="1" fontId="3" fillId="0" borderId="0" xfId="0" applyNumberFormat="1" applyFont="1" applyBorder="1" applyAlignment="1">
      <alignment horizontal="right"/>
    </xf>
    <xf numFmtId="1" fontId="3" fillId="0" borderId="15" xfId="0" applyNumberFormat="1" applyFont="1" applyBorder="1" applyAlignment="1">
      <alignment horizontal="right"/>
    </xf>
    <xf numFmtId="0" fontId="0" fillId="26" borderId="14" xfId="0" applyFill="1" applyBorder="1"/>
    <xf numFmtId="0" fontId="0" fillId="26" borderId="16" xfId="0" applyFill="1" applyBorder="1"/>
    <xf numFmtId="0" fontId="0" fillId="26" borderId="20" xfId="0" applyFill="1" applyBorder="1"/>
    <xf numFmtId="9" fontId="0" fillId="0" borderId="21" xfId="0" applyNumberFormat="1" applyFill="1" applyBorder="1"/>
    <xf numFmtId="9" fontId="0" fillId="0" borderId="14" xfId="0" applyNumberFormat="1" applyFill="1" applyBorder="1"/>
    <xf numFmtId="15" fontId="3" fillId="0" borderId="10" xfId="0" applyNumberFormat="1" applyFont="1" applyFill="1" applyBorder="1" applyAlignment="1">
      <alignment horizontal="center" vertical="top" wrapText="1"/>
    </xf>
    <xf numFmtId="0" fontId="0" fillId="24" borderId="17" xfId="0" applyFill="1" applyBorder="1" applyAlignment="1">
      <alignment vertical="top" wrapText="1"/>
    </xf>
    <xf numFmtId="0" fontId="0" fillId="24" borderId="17" xfId="0" applyFill="1" applyBorder="1" applyAlignment="1">
      <alignment horizontal="center" vertical="top" wrapText="1"/>
    </xf>
    <xf numFmtId="15" fontId="0" fillId="24" borderId="10" xfId="0" applyNumberFormat="1" applyFill="1" applyBorder="1" applyAlignment="1">
      <alignment horizontal="center" vertical="top" wrapText="1"/>
    </xf>
    <xf numFmtId="0" fontId="0" fillId="24" borderId="0" xfId="0" applyFill="1" applyBorder="1" applyAlignment="1">
      <alignment vertical="top" wrapText="1"/>
    </xf>
    <xf numFmtId="15" fontId="0" fillId="24" borderId="17" xfId="0" applyNumberFormat="1" applyFill="1" applyBorder="1" applyAlignment="1">
      <alignment horizontal="center" vertical="top" wrapText="1"/>
    </xf>
    <xf numFmtId="0" fontId="3" fillId="0" borderId="13" xfId="0" applyFont="1" applyFill="1" applyBorder="1" applyAlignment="1">
      <alignment horizontal="center"/>
    </xf>
    <xf numFmtId="165" fontId="0" fillId="0" borderId="23" xfId="0" applyNumberFormat="1" applyFill="1" applyBorder="1" applyAlignment="1">
      <alignment horizontal="center"/>
    </xf>
    <xf numFmtId="0" fontId="11" fillId="0" borderId="10" xfId="0" applyFont="1" applyFill="1" applyBorder="1" applyAlignment="1">
      <alignment vertical="top" wrapText="1"/>
    </xf>
    <xf numFmtId="1" fontId="0" fillId="26" borderId="19" xfId="0" applyNumberFormat="1" applyFill="1" applyBorder="1"/>
    <xf numFmtId="1" fontId="0" fillId="26" borderId="16" xfId="0" applyNumberFormat="1" applyFill="1" applyBorder="1"/>
    <xf numFmtId="0" fontId="1" fillId="0" borderId="10" xfId="0" applyFont="1" applyBorder="1" applyAlignment="1">
      <alignment horizontal="center"/>
    </xf>
    <xf numFmtId="1" fontId="2" fillId="0" borderId="18" xfId="0" applyNumberFormat="1" applyFont="1" applyBorder="1" applyAlignment="1">
      <alignment horizontal="right"/>
    </xf>
    <xf numFmtId="1" fontId="2" fillId="0" borderId="19" xfId="0" applyNumberFormat="1" applyFont="1" applyBorder="1" applyAlignment="1">
      <alignment horizontal="right"/>
    </xf>
    <xf numFmtId="1" fontId="2" fillId="0" borderId="16" xfId="0" applyNumberFormat="1" applyFont="1" applyBorder="1" applyAlignment="1">
      <alignment horizontal="right"/>
    </xf>
    <xf numFmtId="1" fontId="0" fillId="0" borderId="18" xfId="0" applyNumberFormat="1" applyBorder="1" applyAlignment="1">
      <alignment horizontal="right"/>
    </xf>
    <xf numFmtId="1" fontId="0" fillId="0" borderId="19" xfId="0" applyNumberFormat="1" applyBorder="1" applyAlignment="1">
      <alignment horizontal="right"/>
    </xf>
    <xf numFmtId="1" fontId="0" fillId="0" borderId="16" xfId="0" applyNumberFormat="1" applyBorder="1" applyAlignment="1">
      <alignment horizontal="right"/>
    </xf>
    <xf numFmtId="0" fontId="2" fillId="0" borderId="23" xfId="0" applyFont="1" applyBorder="1" applyAlignment="1">
      <alignment vertical="top" wrapText="1"/>
    </xf>
    <xf numFmtId="0" fontId="3" fillId="0" borderId="10" xfId="0" applyFont="1" applyBorder="1" applyAlignment="1">
      <alignment vertical="top" wrapText="1"/>
    </xf>
    <xf numFmtId="0" fontId="0" fillId="0" borderId="10" xfId="0" applyFont="1" applyBorder="1" applyAlignment="1">
      <alignment vertical="top" wrapText="1"/>
    </xf>
    <xf numFmtId="0" fontId="7" fillId="0" borderId="18" xfId="0" applyFont="1" applyFill="1" applyBorder="1"/>
    <xf numFmtId="0" fontId="0" fillId="0" borderId="21" xfId="0" applyFill="1" applyBorder="1"/>
    <xf numFmtId="1" fontId="0" fillId="26" borderId="22" xfId="0" applyNumberFormat="1" applyFill="1" applyBorder="1"/>
    <xf numFmtId="1" fontId="0" fillId="26" borderId="21" xfId="0" applyNumberFormat="1" applyFill="1" applyBorder="1"/>
    <xf numFmtId="1" fontId="0" fillId="26" borderId="14" xfId="0" applyNumberFormat="1" applyFill="1" applyBorder="1"/>
    <xf numFmtId="165" fontId="0" fillId="0" borderId="14" xfId="0" applyNumberFormat="1" applyBorder="1"/>
    <xf numFmtId="165" fontId="0" fillId="0" borderId="15" xfId="0" applyNumberFormat="1" applyBorder="1"/>
    <xf numFmtId="165" fontId="0" fillId="0" borderId="16" xfId="0" applyNumberFormat="1" applyBorder="1"/>
    <xf numFmtId="165" fontId="0" fillId="0" borderId="20" xfId="0" applyNumberFormat="1" applyBorder="1"/>
    <xf numFmtId="1" fontId="0" fillId="26" borderId="23" xfId="0" applyNumberFormat="1" applyFill="1" applyBorder="1"/>
    <xf numFmtId="1" fontId="0" fillId="26" borderId="24" xfId="0" applyNumberFormat="1" applyFill="1" applyBorder="1"/>
    <xf numFmtId="1" fontId="0" fillId="26" borderId="20" xfId="0" applyNumberFormat="1" applyFill="1" applyBorder="1"/>
    <xf numFmtId="9" fontId="0" fillId="0" borderId="12" xfId="0" applyNumberFormat="1" applyFill="1" applyBorder="1"/>
    <xf numFmtId="9" fontId="0" fillId="0" borderId="12" xfId="0" applyNumberFormat="1" applyBorder="1"/>
    <xf numFmtId="9" fontId="0" fillId="0" borderId="13" xfId="0" applyNumberFormat="1" applyBorder="1"/>
    <xf numFmtId="15" fontId="0" fillId="0" borderId="23" xfId="0" applyNumberFormat="1" applyFill="1" applyBorder="1" applyAlignment="1">
      <alignment horizontal="center" wrapText="1"/>
    </xf>
    <xf numFmtId="14" fontId="0" fillId="0" borderId="13" xfId="0" applyNumberFormat="1" applyFill="1" applyBorder="1" applyAlignment="1">
      <alignment horizontal="center" wrapText="1"/>
    </xf>
    <xf numFmtId="0" fontId="0" fillId="0" borderId="13" xfId="0" applyBorder="1" applyAlignment="1">
      <alignment horizontal="center" wrapText="1"/>
    </xf>
    <xf numFmtId="1" fontId="0" fillId="0" borderId="13" xfId="0" applyNumberFormat="1" applyFill="1" applyBorder="1" applyAlignment="1">
      <alignment horizontal="center" wrapText="1"/>
    </xf>
    <xf numFmtId="0" fontId="0" fillId="25" borderId="17" xfId="0" applyFill="1" applyBorder="1" applyAlignment="1">
      <alignment vertical="top" wrapText="1"/>
    </xf>
    <xf numFmtId="0" fontId="0" fillId="25" borderId="17" xfId="0" applyFill="1" applyBorder="1" applyAlignment="1">
      <alignment horizontal="center" vertical="top" wrapText="1"/>
    </xf>
    <xf numFmtId="0" fontId="3" fillId="25" borderId="10" xfId="0" applyFont="1" applyFill="1" applyBorder="1" applyAlignment="1">
      <alignment horizontal="center" vertical="top" wrapText="1"/>
    </xf>
    <xf numFmtId="15" fontId="0" fillId="25" borderId="10" xfId="0" applyNumberFormat="1" applyFill="1" applyBorder="1" applyAlignment="1">
      <alignment horizontal="center" vertical="top" wrapText="1"/>
    </xf>
    <xf numFmtId="165" fontId="0" fillId="25" borderId="10" xfId="0" applyNumberFormat="1" applyFill="1" applyBorder="1" applyAlignment="1">
      <alignment vertical="top" wrapText="1"/>
    </xf>
    <xf numFmtId="0" fontId="2" fillId="0" borderId="13" xfId="0" applyFont="1" applyBorder="1" applyAlignment="1">
      <alignment vertical="top" wrapText="1"/>
    </xf>
    <xf numFmtId="0" fontId="8" fillId="0" borderId="13" xfId="0" applyFont="1" applyFill="1" applyBorder="1"/>
    <xf numFmtId="0" fontId="3" fillId="0" borderId="17" xfId="0" applyFont="1" applyFill="1" applyBorder="1" applyAlignment="1">
      <alignment horizontal="left" vertical="top" wrapText="1"/>
    </xf>
    <xf numFmtId="1" fontId="3" fillId="0" borderId="19" xfId="0" applyNumberFormat="1" applyFont="1" applyBorder="1" applyAlignment="1">
      <alignment horizontal="right"/>
    </xf>
    <xf numFmtId="0" fontId="2" fillId="0" borderId="10" xfId="0" applyFont="1" applyBorder="1" applyAlignment="1">
      <alignment horizontal="right"/>
    </xf>
    <xf numFmtId="1" fontId="3" fillId="0" borderId="16" xfId="0" applyNumberFormat="1" applyFont="1" applyBorder="1" applyAlignment="1">
      <alignment horizontal="right"/>
    </xf>
    <xf numFmtId="165" fontId="0" fillId="24" borderId="10" xfId="0" applyNumberFormat="1" applyFill="1" applyBorder="1" applyAlignment="1">
      <alignment vertical="top" wrapText="1"/>
    </xf>
    <xf numFmtId="165" fontId="0" fillId="0" borderId="23" xfId="0" applyNumberFormat="1" applyFill="1" applyBorder="1" applyAlignment="1">
      <alignment horizontal="center" wrapText="1"/>
    </xf>
    <xf numFmtId="0" fontId="0" fillId="0" borderId="13" xfId="0" applyFill="1" applyBorder="1" applyAlignment="1">
      <alignment horizontal="center" wrapText="1"/>
    </xf>
    <xf numFmtId="1" fontId="0" fillId="24" borderId="17" xfId="0" applyNumberFormat="1" applyFill="1" applyBorder="1" applyAlignment="1">
      <alignment vertical="top" wrapText="1"/>
    </xf>
    <xf numFmtId="0" fontId="0" fillId="0" borderId="20" xfId="0" applyFill="1" applyBorder="1" applyAlignment="1">
      <alignment horizontal="center" vertical="top" wrapText="1"/>
    </xf>
    <xf numFmtId="15" fontId="0" fillId="24" borderId="17" xfId="0" applyNumberFormat="1" applyFill="1" applyBorder="1" applyAlignment="1" applyProtection="1">
      <alignment horizontal="center" vertical="top" wrapText="1"/>
      <protection locked="0"/>
    </xf>
    <xf numFmtId="165" fontId="0" fillId="24" borderId="17" xfId="0" applyNumberFormat="1" applyFill="1" applyBorder="1" applyAlignment="1">
      <alignment vertical="top" wrapText="1"/>
    </xf>
    <xf numFmtId="0" fontId="0" fillId="24" borderId="10" xfId="0" applyFill="1" applyBorder="1" applyAlignment="1">
      <alignment horizontal="center" vertical="top" wrapText="1"/>
    </xf>
    <xf numFmtId="14" fontId="0" fillId="0" borderId="23" xfId="0" applyNumberFormat="1" applyFill="1" applyBorder="1" applyAlignment="1">
      <alignment horizontal="center" wrapText="1"/>
    </xf>
    <xf numFmtId="0" fontId="3" fillId="24" borderId="10" xfId="0" applyFont="1" applyFill="1" applyBorder="1" applyAlignment="1">
      <alignment vertical="top" wrapText="1"/>
    </xf>
    <xf numFmtId="0" fontId="3" fillId="24" borderId="17" xfId="0" applyFont="1" applyFill="1" applyBorder="1" applyAlignment="1">
      <alignment horizontal="left" vertical="top" wrapText="1"/>
    </xf>
    <xf numFmtId="0" fontId="0" fillId="0" borderId="0" xfId="0" applyAlignment="1">
      <alignment vertical="top"/>
    </xf>
    <xf numFmtId="0" fontId="0" fillId="0" borderId="23" xfId="0" applyBorder="1" applyAlignment="1">
      <alignment horizontal="center" wrapText="1"/>
    </xf>
    <xf numFmtId="165" fontId="0" fillId="0" borderId="13" xfId="0" applyNumberFormat="1" applyFill="1" applyBorder="1" applyAlignment="1">
      <alignment horizontal="center" wrapText="1"/>
    </xf>
    <xf numFmtId="15" fontId="0" fillId="0" borderId="13" xfId="0" applyNumberFormat="1" applyFill="1" applyBorder="1" applyAlignment="1">
      <alignment horizontal="center" wrapText="1"/>
    </xf>
    <xf numFmtId="14" fontId="0" fillId="0" borderId="23" xfId="0" applyNumberFormat="1" applyFill="1" applyBorder="1" applyAlignment="1">
      <alignment horizontal="center"/>
    </xf>
    <xf numFmtId="0" fontId="0" fillId="0" borderId="0" xfId="0" applyAlignment="1"/>
    <xf numFmtId="0" fontId="0" fillId="0" borderId="0" xfId="0" applyAlignment="1">
      <alignment wrapText="1"/>
    </xf>
    <xf numFmtId="15" fontId="0" fillId="0" borderId="0" xfId="0" applyNumberFormat="1" applyAlignment="1">
      <alignment wrapText="1"/>
    </xf>
    <xf numFmtId="15" fontId="0" fillId="0" borderId="0" xfId="0" applyNumberFormat="1"/>
    <xf numFmtId="15" fontId="0" fillId="24" borderId="17" xfId="0" applyNumberFormat="1" applyFill="1" applyBorder="1" applyAlignment="1">
      <alignment vertical="top" wrapText="1"/>
    </xf>
    <xf numFmtId="1" fontId="0" fillId="24" borderId="10" xfId="0" applyNumberFormat="1" applyFill="1" applyBorder="1" applyAlignment="1">
      <alignment vertical="top" wrapText="1"/>
    </xf>
    <xf numFmtId="15" fontId="0" fillId="0" borderId="11" xfId="0" applyNumberFormat="1" applyBorder="1" applyAlignment="1">
      <alignment vertical="top" wrapText="1"/>
    </xf>
    <xf numFmtId="15" fontId="0" fillId="0" borderId="0" xfId="0" applyNumberFormat="1" applyAlignment="1">
      <alignment vertical="top" wrapText="1"/>
    </xf>
    <xf numFmtId="2" fontId="0" fillId="24" borderId="17" xfId="0" applyNumberFormat="1" applyFill="1" applyBorder="1" applyAlignment="1">
      <alignment vertical="top" wrapText="1"/>
    </xf>
    <xf numFmtId="2" fontId="0" fillId="24" borderId="10" xfId="0" applyNumberFormat="1" applyFill="1" applyBorder="1" applyAlignment="1">
      <alignment vertical="top" wrapText="1"/>
    </xf>
    <xf numFmtId="1" fontId="2" fillId="0" borderId="13" xfId="0" applyNumberFormat="1" applyFont="1" applyBorder="1" applyAlignment="1">
      <alignment horizontal="right"/>
    </xf>
    <xf numFmtId="1" fontId="0" fillId="0" borderId="10" xfId="0" applyNumberFormat="1" applyFill="1" applyBorder="1" applyAlignment="1">
      <alignment vertical="top" wrapText="1"/>
    </xf>
    <xf numFmtId="0" fontId="2" fillId="0" borderId="0" xfId="0" applyFont="1" applyAlignment="1">
      <alignment horizontal="right"/>
    </xf>
    <xf numFmtId="0" fontId="2" fillId="0" borderId="17" xfId="0" applyFont="1" applyFill="1" applyBorder="1"/>
    <xf numFmtId="17" fontId="0" fillId="0" borderId="23" xfId="0" applyNumberFormat="1" applyBorder="1"/>
    <xf numFmtId="17" fontId="0" fillId="0" borderId="20" xfId="0" applyNumberFormat="1" applyBorder="1"/>
    <xf numFmtId="0" fontId="3" fillId="27" borderId="17" xfId="0" applyFont="1" applyFill="1" applyBorder="1"/>
    <xf numFmtId="0" fontId="0" fillId="27" borderId="17" xfId="0" applyFill="1" applyBorder="1"/>
    <xf numFmtId="0" fontId="2" fillId="27" borderId="17" xfId="0" applyFont="1" applyFill="1" applyBorder="1"/>
    <xf numFmtId="0" fontId="0" fillId="25" borderId="17" xfId="0" quotePrefix="1" applyFill="1" applyBorder="1"/>
    <xf numFmtId="0" fontId="0" fillId="25" borderId="17" xfId="0" applyFill="1" applyBorder="1"/>
    <xf numFmtId="0" fontId="0" fillId="24" borderId="17" xfId="0" applyFill="1" applyBorder="1" applyAlignment="1">
      <alignment horizontal="right"/>
    </xf>
    <xf numFmtId="1" fontId="0" fillId="24" borderId="17" xfId="0" applyNumberFormat="1" applyFill="1" applyBorder="1" applyAlignment="1">
      <alignment horizontal="right"/>
    </xf>
    <xf numFmtId="1" fontId="2" fillId="24" borderId="18" xfId="0" applyNumberFormat="1" applyFont="1" applyFill="1" applyBorder="1" applyAlignment="1">
      <alignment horizontal="right"/>
    </xf>
    <xf numFmtId="0" fontId="0" fillId="0" borderId="13" xfId="0" applyBorder="1" applyAlignment="1">
      <alignment horizontal="right"/>
    </xf>
    <xf numFmtId="0" fontId="0" fillId="24" borderId="17" xfId="0" applyFill="1" applyBorder="1" applyAlignment="1">
      <alignment horizontal="left" vertical="top" wrapText="1"/>
    </xf>
    <xf numFmtId="1" fontId="0" fillId="25" borderId="10" xfId="0" applyNumberFormat="1" applyFill="1" applyBorder="1" applyAlignment="1">
      <alignment vertical="top" wrapText="1"/>
    </xf>
    <xf numFmtId="0" fontId="3" fillId="24" borderId="10" xfId="0" applyFont="1" applyFill="1" applyBorder="1" applyAlignment="1">
      <alignment horizontal="left" vertical="top" wrapText="1"/>
    </xf>
    <xf numFmtId="165" fontId="0" fillId="26" borderId="17" xfId="0" applyNumberFormat="1" applyFill="1" applyBorder="1" applyAlignment="1">
      <alignment vertical="top" wrapText="1"/>
    </xf>
    <xf numFmtId="165" fontId="0" fillId="26" borderId="10" xfId="0" applyNumberFormat="1" applyFill="1" applyBorder="1" applyAlignment="1">
      <alignment vertical="top" wrapText="1"/>
    </xf>
    <xf numFmtId="0" fontId="2" fillId="0" borderId="13" xfId="0" applyFont="1" applyBorder="1" applyAlignment="1">
      <alignment horizontal="center" vertical="top" wrapText="1"/>
    </xf>
    <xf numFmtId="9" fontId="0" fillId="25" borderId="10" xfId="0" applyNumberFormat="1" applyFill="1" applyBorder="1" applyAlignment="1">
      <alignment vertical="top" wrapText="1"/>
    </xf>
    <xf numFmtId="9" fontId="0" fillId="0" borderId="10" xfId="0" applyNumberFormat="1" applyFill="1" applyBorder="1" applyAlignment="1">
      <alignment vertical="top" wrapText="1"/>
    </xf>
    <xf numFmtId="9" fontId="0" fillId="0" borderId="10" xfId="0" applyNumberFormat="1" applyBorder="1" applyAlignment="1">
      <alignment vertical="top" wrapText="1"/>
    </xf>
    <xf numFmtId="1" fontId="3" fillId="0" borderId="10" xfId="0" applyNumberFormat="1" applyFont="1" applyFill="1" applyBorder="1" applyAlignment="1">
      <alignment vertical="top" wrapText="1"/>
    </xf>
    <xf numFmtId="1" fontId="0" fillId="0" borderId="10" xfId="0" applyNumberFormat="1" applyBorder="1" applyAlignment="1">
      <alignment vertical="top" wrapText="1"/>
    </xf>
    <xf numFmtId="1" fontId="2" fillId="0" borderId="10" xfId="0" applyNumberFormat="1" applyFont="1" applyBorder="1" applyAlignment="1">
      <alignment horizontal="right"/>
    </xf>
    <xf numFmtId="0" fontId="0" fillId="0" borderId="21" xfId="0" applyBorder="1" applyAlignment="1">
      <alignment horizontal="center"/>
    </xf>
    <xf numFmtId="17" fontId="0" fillId="28" borderId="10" xfId="0" applyNumberFormat="1" applyFill="1" applyBorder="1" applyAlignment="1">
      <alignment horizontal="center"/>
    </xf>
    <xf numFmtId="166" fontId="0" fillId="0" borderId="0" xfId="0" applyNumberFormat="1" applyAlignment="1">
      <alignment vertical="top" wrapText="1"/>
    </xf>
    <xf numFmtId="165" fontId="0" fillId="24" borderId="17" xfId="0" applyNumberFormat="1" applyFill="1" applyBorder="1" applyAlignment="1">
      <alignment vertical="top" wrapText="1"/>
    </xf>
    <xf numFmtId="0" fontId="0" fillId="24" borderId="10" xfId="0" applyFill="1" applyBorder="1" applyAlignment="1">
      <alignment vertical="top" wrapText="1"/>
    </xf>
    <xf numFmtId="0" fontId="0" fillId="24" borderId="17" xfId="0" applyFill="1" applyBorder="1" applyAlignment="1">
      <alignment vertical="top" wrapText="1"/>
    </xf>
    <xf numFmtId="0" fontId="0" fillId="24" borderId="17" xfId="0" applyFill="1" applyBorder="1" applyAlignment="1">
      <alignment horizontal="center" vertical="top" wrapText="1"/>
    </xf>
    <xf numFmtId="0" fontId="3" fillId="24" borderId="10" xfId="0" applyFont="1" applyFill="1" applyBorder="1" applyAlignment="1">
      <alignment horizontal="center" vertical="top" wrapText="1"/>
    </xf>
    <xf numFmtId="1" fontId="0" fillId="24" borderId="17" xfId="0" applyNumberFormat="1" applyFill="1" applyBorder="1" applyAlignment="1">
      <alignment vertical="top" wrapText="1"/>
    </xf>
    <xf numFmtId="165" fontId="0" fillId="24" borderId="10" xfId="0" applyNumberFormat="1" applyFill="1" applyBorder="1" applyAlignment="1">
      <alignment vertical="top" wrapText="1"/>
    </xf>
    <xf numFmtId="15" fontId="0" fillId="24" borderId="10" xfId="0" applyNumberFormat="1" applyFill="1" applyBorder="1" applyAlignment="1">
      <alignment horizontal="center" vertical="top" wrapText="1"/>
    </xf>
    <xf numFmtId="1" fontId="0" fillId="24" borderId="0" xfId="0" applyNumberFormat="1" applyFill="1" applyBorder="1" applyAlignment="1">
      <alignment vertical="top" wrapText="1"/>
    </xf>
    <xf numFmtId="1" fontId="0" fillId="24" borderId="10" xfId="0" applyNumberFormat="1" applyFill="1" applyBorder="1" applyAlignment="1">
      <alignment vertical="top" wrapText="1"/>
    </xf>
    <xf numFmtId="9" fontId="0" fillId="24" borderId="10" xfId="0" applyNumberFormat="1" applyFill="1" applyBorder="1" applyAlignment="1">
      <alignment vertical="top" wrapText="1"/>
    </xf>
    <xf numFmtId="15" fontId="0" fillId="24" borderId="17" xfId="0" applyNumberFormat="1" applyFill="1" applyBorder="1" applyAlignment="1">
      <alignment horizontal="center" vertical="top" wrapText="1"/>
    </xf>
    <xf numFmtId="15" fontId="0" fillId="24" borderId="17" xfId="0" applyNumberFormat="1" applyFill="1" applyBorder="1" applyAlignment="1" applyProtection="1">
      <alignment horizontal="center" vertical="top" wrapText="1"/>
      <protection locked="0"/>
    </xf>
    <xf numFmtId="0" fontId="0" fillId="24" borderId="10" xfId="0" applyFont="1" applyFill="1" applyBorder="1" applyAlignment="1">
      <alignment vertical="top" wrapText="1"/>
    </xf>
    <xf numFmtId="0" fontId="0" fillId="24" borderId="10" xfId="0" applyFill="1" applyBorder="1" applyAlignment="1">
      <alignment horizontal="center" vertical="top" wrapText="1"/>
    </xf>
    <xf numFmtId="0" fontId="3" fillId="24" borderId="10" xfId="0" applyFont="1" applyFill="1" applyBorder="1" applyAlignment="1">
      <alignment vertical="top" wrapText="1"/>
    </xf>
    <xf numFmtId="0" fontId="0" fillId="0" borderId="14" xfId="0" applyFill="1" applyBorder="1" applyAlignment="1">
      <alignment horizontal="center"/>
    </xf>
    <xf numFmtId="0" fontId="0" fillId="0" borderId="12" xfId="0" applyFill="1" applyBorder="1" applyAlignment="1">
      <alignment horizontal="center"/>
    </xf>
    <xf numFmtId="0" fontId="0" fillId="0" borderId="10" xfId="0" applyFill="1" applyBorder="1" applyAlignment="1">
      <alignment horizontal="center"/>
    </xf>
    <xf numFmtId="2" fontId="0" fillId="0" borderId="11" xfId="0" applyNumberFormat="1" applyBorder="1" applyAlignment="1">
      <alignment horizontal="center"/>
    </xf>
    <xf numFmtId="1" fontId="0" fillId="26" borderId="18" xfId="0" applyNumberFormat="1" applyFill="1" applyBorder="1"/>
    <xf numFmtId="165" fontId="0" fillId="0" borderId="23" xfId="0" applyNumberFormat="1" applyFill="1" applyBorder="1"/>
    <xf numFmtId="1" fontId="2" fillId="0" borderId="15" xfId="0" applyNumberFormat="1" applyFont="1" applyBorder="1"/>
    <xf numFmtId="165" fontId="3" fillId="24" borderId="17" xfId="0" applyNumberFormat="1" applyFont="1" applyFill="1" applyBorder="1" applyAlignment="1">
      <alignment vertical="top" wrapText="1"/>
    </xf>
    <xf numFmtId="165" fontId="0" fillId="24" borderId="0" xfId="0" applyNumberFormat="1" applyFill="1" applyBorder="1" applyAlignment="1">
      <alignment vertical="top" wrapText="1"/>
    </xf>
    <xf numFmtId="165" fontId="0" fillId="0" borderId="11" xfId="0" applyNumberFormat="1" applyBorder="1" applyAlignment="1">
      <alignment vertical="top" wrapText="1"/>
    </xf>
    <xf numFmtId="15" fontId="0" fillId="0" borderId="11" xfId="0" applyNumberFormat="1" applyBorder="1" applyAlignment="1">
      <alignment horizontal="center" vertical="top" wrapText="1"/>
    </xf>
    <xf numFmtId="15" fontId="0" fillId="0" borderId="0" xfId="0" applyNumberFormat="1" applyAlignment="1">
      <alignment horizontal="center" vertical="top" wrapText="1"/>
    </xf>
    <xf numFmtId="15" fontId="0" fillId="24" borderId="10" xfId="0" applyNumberFormat="1" applyFill="1" applyBorder="1" applyAlignment="1">
      <alignment horizontal="center" vertical="top"/>
    </xf>
    <xf numFmtId="0" fontId="0" fillId="32" borderId="10" xfId="0" applyFill="1" applyBorder="1" applyAlignment="1">
      <alignment vertical="top" wrapText="1"/>
    </xf>
    <xf numFmtId="0" fontId="0" fillId="32" borderId="17" xfId="0" applyFill="1" applyBorder="1" applyAlignment="1">
      <alignment vertical="top" wrapText="1"/>
    </xf>
    <xf numFmtId="0" fontId="0" fillId="32" borderId="17" xfId="0" applyFill="1" applyBorder="1" applyAlignment="1">
      <alignment horizontal="center" vertical="top" wrapText="1"/>
    </xf>
    <xf numFmtId="1" fontId="0" fillId="32" borderId="17" xfId="0" applyNumberFormat="1" applyFill="1" applyBorder="1" applyAlignment="1">
      <alignment vertical="top" wrapText="1"/>
    </xf>
    <xf numFmtId="165" fontId="0" fillId="32" borderId="10" xfId="0" applyNumberFormat="1" applyFill="1" applyBorder="1" applyAlignment="1">
      <alignment vertical="top" wrapText="1"/>
    </xf>
    <xf numFmtId="1" fontId="0" fillId="32" borderId="0" xfId="0" applyNumberFormat="1" applyFill="1" applyBorder="1" applyAlignment="1">
      <alignment vertical="top" wrapText="1"/>
    </xf>
    <xf numFmtId="1" fontId="0" fillId="32" borderId="10" xfId="0" applyNumberFormat="1" applyFill="1" applyBorder="1" applyAlignment="1">
      <alignment vertical="top" wrapText="1"/>
    </xf>
    <xf numFmtId="15" fontId="0" fillId="32" borderId="10" xfId="0" applyNumberFormat="1" applyFill="1" applyBorder="1" applyAlignment="1">
      <alignment vertical="top" wrapText="1"/>
    </xf>
    <xf numFmtId="9" fontId="0" fillId="32" borderId="10" xfId="0" applyNumberFormat="1" applyFill="1" applyBorder="1" applyAlignment="1">
      <alignment vertical="top" wrapText="1"/>
    </xf>
    <xf numFmtId="0" fontId="0" fillId="32" borderId="0" xfId="0" applyFill="1" applyBorder="1" applyAlignment="1">
      <alignment vertical="top" wrapText="1"/>
    </xf>
    <xf numFmtId="0" fontId="3" fillId="32" borderId="10" xfId="0" applyFont="1" applyFill="1" applyBorder="1" applyAlignment="1">
      <alignment vertical="top" wrapText="1"/>
    </xf>
    <xf numFmtId="15" fontId="0" fillId="32" borderId="17" xfId="0" applyNumberFormat="1" applyFill="1" applyBorder="1" applyAlignment="1" applyProtection="1">
      <alignment horizontal="center" vertical="top" wrapText="1"/>
      <protection locked="0"/>
    </xf>
    <xf numFmtId="15" fontId="0" fillId="32" borderId="17" xfId="0" applyNumberFormat="1" applyFill="1" applyBorder="1" applyAlignment="1">
      <alignment horizontal="center" vertical="top" wrapText="1"/>
    </xf>
    <xf numFmtId="165" fontId="0" fillId="32" borderId="17" xfId="0" applyNumberFormat="1" applyFill="1" applyBorder="1" applyAlignment="1">
      <alignment vertical="top" wrapText="1"/>
    </xf>
    <xf numFmtId="165" fontId="3" fillId="32" borderId="17" xfId="0" applyNumberFormat="1" applyFont="1" applyFill="1" applyBorder="1" applyAlignment="1">
      <alignment vertical="top" wrapText="1"/>
    </xf>
    <xf numFmtId="165" fontId="3" fillId="34" borderId="17" xfId="0" applyNumberFormat="1" applyFont="1" applyFill="1" applyBorder="1" applyAlignment="1">
      <alignment vertical="top" wrapText="1"/>
    </xf>
    <xf numFmtId="0" fontId="0" fillId="33" borderId="10" xfId="0" applyFill="1" applyBorder="1" applyAlignment="1">
      <alignment horizontal="center"/>
    </xf>
    <xf numFmtId="0" fontId="0" fillId="35" borderId="10" xfId="0" applyFill="1" applyBorder="1" applyAlignment="1">
      <alignment vertical="top" wrapText="1"/>
    </xf>
    <xf numFmtId="0" fontId="3" fillId="35" borderId="10" xfId="0" applyFont="1" applyFill="1" applyBorder="1" applyAlignment="1">
      <alignment horizontal="center" vertical="top" wrapText="1"/>
    </xf>
    <xf numFmtId="165" fontId="0" fillId="35" borderId="10" xfId="0" applyNumberFormat="1" applyFill="1" applyBorder="1" applyAlignment="1">
      <alignment vertical="top" wrapText="1"/>
    </xf>
    <xf numFmtId="15" fontId="0" fillId="35" borderId="10" xfId="0" applyNumberFormat="1" applyFill="1" applyBorder="1" applyAlignment="1">
      <alignment horizontal="center" vertical="top" wrapText="1"/>
    </xf>
    <xf numFmtId="1" fontId="0" fillId="35" borderId="10" xfId="0" applyNumberFormat="1" applyFill="1" applyBorder="1" applyAlignment="1">
      <alignment vertical="top" wrapText="1"/>
    </xf>
    <xf numFmtId="9" fontId="0" fillId="35" borderId="10" xfId="0" applyNumberFormat="1" applyFill="1" applyBorder="1" applyAlignment="1">
      <alignment vertical="top" wrapText="1"/>
    </xf>
    <xf numFmtId="0" fontId="3" fillId="35" borderId="10" xfId="0" applyFont="1" applyFill="1" applyBorder="1" applyAlignment="1">
      <alignment vertical="top" wrapText="1"/>
    </xf>
    <xf numFmtId="0" fontId="1" fillId="0" borderId="10" xfId="0" applyFont="1" applyFill="1" applyBorder="1" applyAlignment="1">
      <alignment vertical="top" wrapText="1"/>
    </xf>
    <xf numFmtId="15" fontId="0" fillId="32" borderId="10" xfId="0" applyNumberFormat="1" applyFill="1" applyBorder="1" applyAlignment="1">
      <alignment horizontal="center" vertical="top" wrapText="1"/>
    </xf>
    <xf numFmtId="0" fontId="1" fillId="32" borderId="10" xfId="0" applyFont="1" applyFill="1" applyBorder="1" applyAlignment="1">
      <alignment vertical="top" wrapText="1"/>
    </xf>
    <xf numFmtId="0" fontId="1" fillId="0" borderId="0" xfId="0" applyFont="1" applyFill="1" applyBorder="1" applyAlignment="1">
      <alignment vertical="top" wrapText="1"/>
    </xf>
    <xf numFmtId="0" fontId="1" fillId="0" borderId="10" xfId="0" applyFont="1" applyFill="1" applyBorder="1"/>
    <xf numFmtId="0" fontId="0" fillId="32" borderId="10" xfId="0" applyFill="1" applyBorder="1" applyAlignment="1">
      <alignment horizontal="center" vertical="top" wrapText="1"/>
    </xf>
    <xf numFmtId="0" fontId="1" fillId="32" borderId="17" xfId="0" applyFont="1" applyFill="1" applyBorder="1" applyAlignment="1">
      <alignment vertical="top" wrapText="1"/>
    </xf>
    <xf numFmtId="0" fontId="1" fillId="32" borderId="17" xfId="0" applyFont="1" applyFill="1" applyBorder="1" applyAlignment="1">
      <alignment horizontal="center" vertical="top" wrapText="1"/>
    </xf>
    <xf numFmtId="0" fontId="1" fillId="0" borderId="10" xfId="0" applyFont="1" applyBorder="1" applyAlignment="1">
      <alignment vertical="top" wrapText="1"/>
    </xf>
    <xf numFmtId="0" fontId="1" fillId="24" borderId="10" xfId="0" applyFont="1" applyFill="1" applyBorder="1" applyAlignment="1">
      <alignment vertical="top" wrapText="1"/>
    </xf>
    <xf numFmtId="0" fontId="1" fillId="24" borderId="17" xfId="0" applyFont="1" applyFill="1" applyBorder="1" applyAlignment="1">
      <alignment horizontal="left" vertical="top" wrapText="1"/>
    </xf>
    <xf numFmtId="0" fontId="1" fillId="24" borderId="17" xfId="0" applyFont="1" applyFill="1" applyBorder="1" applyAlignment="1">
      <alignment horizontal="center" vertical="top" wrapText="1"/>
    </xf>
    <xf numFmtId="0" fontId="1" fillId="32" borderId="10" xfId="0" applyFont="1" applyFill="1" applyBorder="1" applyAlignment="1">
      <alignment horizontal="center" vertical="top" wrapText="1"/>
    </xf>
    <xf numFmtId="2" fontId="0" fillId="0" borderId="0" xfId="0" applyNumberFormat="1" applyBorder="1"/>
    <xf numFmtId="165" fontId="1" fillId="0" borderId="0" xfId="0" applyNumberFormat="1" applyFont="1" applyBorder="1"/>
    <xf numFmtId="0" fontId="1" fillId="0" borderId="0" xfId="0" applyFont="1" applyBorder="1"/>
    <xf numFmtId="0" fontId="0" fillId="0" borderId="15" xfId="0" applyFill="1" applyBorder="1" applyAlignment="1">
      <alignment vertical="top" wrapText="1"/>
    </xf>
    <xf numFmtId="0" fontId="0" fillId="33" borderId="0" xfId="0" applyFill="1"/>
    <xf numFmtId="0" fontId="3" fillId="0" borderId="10" xfId="0" applyFont="1" applyFill="1" applyBorder="1" applyAlignment="1">
      <alignment horizontal="left" vertical="top" wrapText="1"/>
    </xf>
    <xf numFmtId="0" fontId="1" fillId="32" borderId="0" xfId="0" applyFont="1" applyFill="1" applyBorder="1" applyAlignment="1">
      <alignment vertical="top" wrapText="1"/>
    </xf>
    <xf numFmtId="0" fontId="0" fillId="33" borderId="17" xfId="0" applyFill="1" applyBorder="1" applyAlignment="1">
      <alignment vertical="top" wrapText="1"/>
    </xf>
    <xf numFmtId="0" fontId="0" fillId="33" borderId="0" xfId="0" applyFill="1" applyAlignment="1">
      <alignment vertical="top" wrapText="1"/>
    </xf>
    <xf numFmtId="0" fontId="0" fillId="33" borderId="15" xfId="0" applyFill="1" applyBorder="1" applyAlignment="1">
      <alignment vertical="top" wrapText="1"/>
    </xf>
    <xf numFmtId="0" fontId="0" fillId="33" borderId="10" xfId="0" applyFill="1" applyBorder="1" applyAlignment="1">
      <alignment vertical="top" wrapText="1"/>
    </xf>
    <xf numFmtId="0" fontId="1" fillId="33" borderId="10" xfId="0" applyFont="1" applyFill="1" applyBorder="1" applyAlignment="1">
      <alignment vertical="top" wrapText="1"/>
    </xf>
    <xf numFmtId="0" fontId="1" fillId="33" borderId="0" xfId="0" applyFont="1" applyFill="1" applyBorder="1" applyAlignment="1">
      <alignment vertical="top" wrapText="1"/>
    </xf>
    <xf numFmtId="165" fontId="0" fillId="33" borderId="10" xfId="0" applyNumberFormat="1" applyFill="1" applyBorder="1" applyAlignment="1">
      <alignment vertical="top" wrapText="1"/>
    </xf>
    <xf numFmtId="15" fontId="0" fillId="33" borderId="10" xfId="0" applyNumberFormat="1" applyFill="1" applyBorder="1" applyAlignment="1">
      <alignment horizontal="center" vertical="top" wrapText="1"/>
    </xf>
    <xf numFmtId="0" fontId="3" fillId="32" borderId="10" xfId="0" applyFont="1" applyFill="1" applyBorder="1" applyAlignment="1">
      <alignment horizontal="center" vertical="top" wrapText="1"/>
    </xf>
    <xf numFmtId="0" fontId="0" fillId="0" borderId="0" xfId="0" applyFill="1"/>
    <xf numFmtId="0" fontId="1" fillId="0" borderId="0" xfId="0" applyFont="1" applyFill="1"/>
    <xf numFmtId="0" fontId="0" fillId="0" borderId="0" xfId="0" applyFill="1" applyAlignment="1">
      <alignment vertical="top" wrapText="1"/>
    </xf>
    <xf numFmtId="0" fontId="1" fillId="33" borderId="10" xfId="0" applyFont="1" applyFill="1" applyBorder="1" applyAlignment="1">
      <alignment horizontal="center" vertical="top" wrapText="1"/>
    </xf>
    <xf numFmtId="1" fontId="0" fillId="33" borderId="10" xfId="0" applyNumberFormat="1" applyFill="1" applyBorder="1" applyAlignment="1">
      <alignment vertical="top" wrapText="1"/>
    </xf>
    <xf numFmtId="0" fontId="1" fillId="32" borderId="10" xfId="0" applyFont="1" applyFill="1" applyBorder="1"/>
    <xf numFmtId="1" fontId="0" fillId="32" borderId="10" xfId="0" applyNumberFormat="1" applyFill="1" applyBorder="1" applyAlignment="1">
      <alignment vertical="top"/>
    </xf>
    <xf numFmtId="15" fontId="0" fillId="32" borderId="10" xfId="0" applyNumberFormat="1" applyFill="1" applyBorder="1" applyAlignment="1">
      <alignment horizontal="center" vertical="top"/>
    </xf>
    <xf numFmtId="0" fontId="0" fillId="32" borderId="10" xfId="0" applyFill="1" applyBorder="1" applyAlignment="1">
      <alignment vertical="top"/>
    </xf>
    <xf numFmtId="1" fontId="1" fillId="24" borderId="10" xfId="0" applyNumberFormat="1" applyFont="1" applyFill="1" applyBorder="1" applyAlignment="1">
      <alignment vertical="top" wrapText="1"/>
    </xf>
    <xf numFmtId="0" fontId="0" fillId="0" borderId="0" xfId="0" applyBorder="1" applyAlignment="1">
      <alignment horizontal="center" vertical="top" wrapText="1"/>
    </xf>
    <xf numFmtId="0" fontId="0" fillId="33" borderId="10" xfId="0" applyFill="1" applyBorder="1"/>
    <xf numFmtId="0" fontId="1" fillId="33" borderId="10" xfId="0" applyFont="1" applyFill="1" applyBorder="1"/>
    <xf numFmtId="0" fontId="1" fillId="0" borderId="11" xfId="0" applyFont="1" applyFill="1" applyBorder="1"/>
    <xf numFmtId="9" fontId="0" fillId="33" borderId="10" xfId="0" applyNumberFormat="1" applyFill="1" applyBorder="1" applyAlignment="1">
      <alignment vertical="top" wrapText="1"/>
    </xf>
    <xf numFmtId="0" fontId="3" fillId="33" borderId="0" xfId="0" applyFont="1" applyFill="1" applyAlignment="1">
      <alignment vertical="top" wrapText="1"/>
    </xf>
    <xf numFmtId="0" fontId="0" fillId="0" borderId="0" xfId="0" applyBorder="1" applyAlignment="1">
      <alignment vertical="top"/>
    </xf>
    <xf numFmtId="0" fontId="0" fillId="33" borderId="0" xfId="0" applyFill="1" applyBorder="1" applyAlignment="1">
      <alignment vertical="top" wrapText="1"/>
    </xf>
    <xf numFmtId="0" fontId="0" fillId="32" borderId="17" xfId="0" applyFill="1" applyBorder="1" applyAlignment="1">
      <alignment horizontal="center" vertical="top"/>
    </xf>
    <xf numFmtId="0" fontId="1" fillId="33" borderId="15" xfId="0" applyFont="1" applyFill="1" applyBorder="1" applyAlignment="1">
      <alignment vertical="top" wrapText="1"/>
    </xf>
    <xf numFmtId="0" fontId="0" fillId="35" borderId="17" xfId="0" applyFill="1" applyBorder="1" applyAlignment="1">
      <alignment vertical="top" wrapText="1"/>
    </xf>
    <xf numFmtId="0" fontId="1" fillId="32" borderId="15" xfId="0" applyFont="1" applyFill="1" applyBorder="1" applyAlignment="1">
      <alignment vertical="top" wrapText="1"/>
    </xf>
    <xf numFmtId="15" fontId="0" fillId="35" borderId="17" xfId="0" applyNumberFormat="1" applyFill="1" applyBorder="1" applyAlignment="1" applyProtection="1">
      <alignment horizontal="center" vertical="top" wrapText="1"/>
      <protection locked="0"/>
    </xf>
    <xf numFmtId="15" fontId="0" fillId="35" borderId="17" xfId="0" applyNumberFormat="1" applyFill="1" applyBorder="1" applyAlignment="1">
      <alignment horizontal="center" vertical="top" wrapText="1"/>
    </xf>
    <xf numFmtId="15" fontId="0" fillId="32" borderId="10" xfId="0" applyNumberFormat="1" applyFill="1" applyBorder="1" applyAlignment="1" applyProtection="1">
      <alignment horizontal="center" vertical="top" wrapText="1"/>
      <protection locked="0"/>
    </xf>
    <xf numFmtId="165" fontId="0" fillId="32" borderId="0" xfId="0" applyNumberFormat="1" applyFill="1" applyBorder="1" applyAlignment="1">
      <alignment vertical="top" wrapText="1"/>
    </xf>
    <xf numFmtId="0" fontId="1" fillId="0" borderId="10" xfId="0" applyFont="1" applyBorder="1"/>
    <xf numFmtId="0" fontId="1" fillId="0" borderId="0" xfId="0" applyFont="1" applyBorder="1" applyAlignment="1">
      <alignment vertical="top" wrapText="1"/>
    </xf>
    <xf numFmtId="0" fontId="0" fillId="33" borderId="10" xfId="0" applyFill="1" applyBorder="1" applyAlignment="1">
      <alignment horizontal="center" vertical="top" wrapText="1"/>
    </xf>
    <xf numFmtId="15" fontId="0" fillId="33" borderId="10" xfId="0" applyNumberFormat="1" applyFill="1" applyBorder="1" applyAlignment="1" applyProtection="1">
      <alignment horizontal="center" vertical="top" wrapText="1"/>
      <protection locked="0"/>
    </xf>
    <xf numFmtId="0" fontId="1" fillId="33" borderId="0" xfId="0" applyFont="1" applyFill="1" applyAlignment="1">
      <alignment vertical="top" wrapText="1"/>
    </xf>
    <xf numFmtId="0" fontId="0" fillId="32" borderId="0" xfId="0" applyFill="1" applyBorder="1" applyAlignment="1">
      <alignment horizontal="center" vertical="top"/>
    </xf>
    <xf numFmtId="0" fontId="3" fillId="32" borderId="17" xfId="0" applyFont="1" applyFill="1" applyBorder="1" applyAlignment="1">
      <alignment horizontal="left" vertical="top" wrapText="1"/>
    </xf>
    <xf numFmtId="165" fontId="0" fillId="32" borderId="10" xfId="0" applyNumberFormat="1" applyFill="1" applyBorder="1" applyAlignment="1">
      <alignment vertical="top"/>
    </xf>
    <xf numFmtId="1" fontId="0" fillId="32" borderId="15" xfId="0" applyNumberFormat="1" applyFill="1" applyBorder="1" applyAlignment="1">
      <alignment vertical="top" wrapText="1"/>
    </xf>
    <xf numFmtId="0" fontId="1" fillId="32" borderId="10" xfId="0" applyFont="1" applyFill="1" applyBorder="1" applyAlignment="1">
      <alignment horizontal="left" vertical="top" wrapText="1"/>
    </xf>
    <xf numFmtId="15" fontId="1" fillId="32" borderId="10" xfId="0" applyNumberFormat="1" applyFont="1" applyFill="1" applyBorder="1" applyAlignment="1" applyProtection="1">
      <alignment horizontal="center" vertical="top" wrapText="1"/>
      <protection locked="0"/>
    </xf>
    <xf numFmtId="165" fontId="1" fillId="24" borderId="17" xfId="0" applyNumberFormat="1" applyFont="1" applyFill="1" applyBorder="1" applyAlignment="1">
      <alignment vertical="top" wrapText="1"/>
    </xf>
    <xf numFmtId="0" fontId="3" fillId="33" borderId="10" xfId="0" applyFont="1" applyFill="1" applyBorder="1" applyAlignment="1">
      <alignment horizontal="center" vertical="top" wrapText="1"/>
    </xf>
    <xf numFmtId="165" fontId="0" fillId="0" borderId="0" xfId="0" applyNumberFormat="1" applyAlignment="1">
      <alignment vertical="top" wrapText="1"/>
    </xf>
    <xf numFmtId="0" fontId="2" fillId="0" borderId="12" xfId="0" applyFont="1" applyBorder="1" applyAlignment="1">
      <alignment horizontal="center" vertical="top" wrapText="1"/>
    </xf>
    <xf numFmtId="0" fontId="0" fillId="32" borderId="10" xfId="0" applyFill="1" applyBorder="1" applyAlignment="1">
      <alignment horizontal="left" vertical="top" wrapText="1"/>
    </xf>
    <xf numFmtId="165" fontId="0" fillId="33" borderId="17" xfId="0" applyNumberFormat="1" applyFill="1" applyBorder="1" applyAlignment="1">
      <alignment vertical="top" wrapText="1"/>
    </xf>
    <xf numFmtId="0" fontId="1" fillId="33" borderId="10" xfId="0" applyFont="1" applyFill="1" applyBorder="1" applyAlignment="1">
      <alignment horizontal="left" vertical="top" wrapText="1"/>
    </xf>
    <xf numFmtId="0" fontId="0" fillId="33" borderId="10" xfId="0" applyFill="1" applyBorder="1" applyAlignment="1">
      <alignment horizontal="left" vertical="top" wrapText="1"/>
    </xf>
    <xf numFmtId="0" fontId="0" fillId="0" borderId="24" xfId="0" applyFill="1" applyBorder="1" applyAlignment="1">
      <alignment horizontal="center"/>
    </xf>
    <xf numFmtId="0" fontId="1" fillId="33" borderId="17" xfId="0" applyFont="1" applyFill="1" applyBorder="1" applyAlignment="1">
      <alignment horizontal="center" vertical="top" wrapText="1"/>
    </xf>
    <xf numFmtId="15" fontId="1" fillId="33" borderId="10" xfId="0" applyNumberFormat="1" applyFont="1" applyFill="1" applyBorder="1" applyAlignment="1" applyProtection="1">
      <alignment horizontal="center" vertical="top" wrapText="1"/>
      <protection locked="0"/>
    </xf>
    <xf numFmtId="15" fontId="0" fillId="33" borderId="17" xfId="0" applyNumberFormat="1" applyFill="1" applyBorder="1" applyAlignment="1" applyProtection="1">
      <alignment horizontal="center" vertical="top" wrapText="1"/>
      <protection locked="0"/>
    </xf>
    <xf numFmtId="15" fontId="0" fillId="33" borderId="17" xfId="0" applyNumberFormat="1" applyFill="1" applyBorder="1" applyAlignment="1">
      <alignment horizontal="center" vertical="top" wrapText="1"/>
    </xf>
    <xf numFmtId="1" fontId="1" fillId="0" borderId="23" xfId="0" applyNumberFormat="1" applyFont="1" applyBorder="1" applyAlignment="1">
      <alignment horizontal="center"/>
    </xf>
    <xf numFmtId="1" fontId="1" fillId="0" borderId="24" xfId="0" applyNumberFormat="1" applyFont="1" applyBorder="1" applyAlignment="1">
      <alignment horizontal="center"/>
    </xf>
    <xf numFmtId="1" fontId="1" fillId="0" borderId="20" xfId="0" applyNumberFormat="1" applyFont="1" applyBorder="1" applyAlignment="1">
      <alignment horizontal="center"/>
    </xf>
    <xf numFmtId="168" fontId="0" fillId="0" borderId="12" xfId="0" applyNumberFormat="1" applyBorder="1"/>
    <xf numFmtId="1" fontId="0" fillId="32" borderId="10" xfId="0" applyNumberFormat="1" applyFill="1" applyBorder="1" applyAlignment="1">
      <alignment horizontal="center" vertical="top" wrapText="1"/>
    </xf>
    <xf numFmtId="0" fontId="0" fillId="0" borderId="11" xfId="0" applyBorder="1" applyAlignment="1">
      <alignment horizontal="center" vertical="top" wrapText="1"/>
    </xf>
    <xf numFmtId="0" fontId="0" fillId="0" borderId="0" xfId="0" applyAlignment="1">
      <alignment horizontal="center" vertical="top" wrapText="1"/>
    </xf>
    <xf numFmtId="0" fontId="0" fillId="0" borderId="0" xfId="0" applyAlignment="1">
      <alignment horizontal="center" wrapText="1"/>
    </xf>
    <xf numFmtId="0" fontId="1" fillId="33" borderId="17" xfId="0" applyFont="1" applyFill="1" applyBorder="1" applyAlignment="1">
      <alignment vertical="top" wrapText="1"/>
    </xf>
    <xf numFmtId="165" fontId="0" fillId="33" borderId="10" xfId="0" applyNumberFormat="1" applyFill="1" applyBorder="1" applyAlignment="1">
      <alignment horizontal="center"/>
    </xf>
    <xf numFmtId="0" fontId="1" fillId="32" borderId="10" xfId="0" applyFont="1" applyFill="1" applyBorder="1" applyAlignment="1">
      <alignment vertical="top"/>
    </xf>
    <xf numFmtId="0" fontId="0" fillId="32" borderId="10" xfId="0" applyFill="1" applyBorder="1" applyAlignment="1">
      <alignment horizontal="center" vertical="top"/>
    </xf>
    <xf numFmtId="0" fontId="1" fillId="0" borderId="13" xfId="0" applyFont="1" applyBorder="1"/>
    <xf numFmtId="0" fontId="1" fillId="0" borderId="10" xfId="0" applyFont="1" applyFill="1" applyBorder="1" applyAlignment="1">
      <alignment horizontal="center" vertical="top" wrapText="1"/>
    </xf>
    <xf numFmtId="165" fontId="2" fillId="0" borderId="22" xfId="0" applyNumberFormat="1" applyFont="1" applyBorder="1"/>
    <xf numFmtId="165" fontId="2" fillId="0" borderId="21" xfId="0" applyNumberFormat="1" applyFont="1" applyBorder="1"/>
    <xf numFmtId="165" fontId="2" fillId="0" borderId="14" xfId="0" applyNumberFormat="1" applyFont="1" applyBorder="1"/>
    <xf numFmtId="0" fontId="1" fillId="0" borderId="12" xfId="0" applyFont="1" applyBorder="1"/>
    <xf numFmtId="0" fontId="0" fillId="0" borderId="20" xfId="0" applyFill="1" applyBorder="1" applyAlignment="1">
      <alignment horizontal="center"/>
    </xf>
    <xf numFmtId="0" fontId="0" fillId="0" borderId="14" xfId="0" applyBorder="1" applyAlignment="1">
      <alignment horizontal="center"/>
    </xf>
    <xf numFmtId="0" fontId="0" fillId="0" borderId="10" xfId="0" applyBorder="1" applyAlignment="1">
      <alignment horizontal="center" vertical="top" wrapText="1"/>
    </xf>
    <xf numFmtId="0" fontId="0" fillId="32" borderId="0" xfId="0" applyFill="1" applyBorder="1" applyAlignment="1">
      <alignment horizontal="center" vertical="top" wrapText="1"/>
    </xf>
    <xf numFmtId="0" fontId="1" fillId="32" borderId="0" xfId="0" applyFont="1" applyFill="1" applyBorder="1" applyAlignment="1">
      <alignment horizontal="center" vertical="top" wrapText="1"/>
    </xf>
    <xf numFmtId="0" fontId="0" fillId="24" borderId="0" xfId="0" applyFill="1" applyBorder="1" applyAlignment="1">
      <alignment horizontal="center" vertical="top" wrapText="1"/>
    </xf>
    <xf numFmtId="1" fontId="0" fillId="0" borderId="0" xfId="0" applyNumberFormat="1" applyAlignment="1">
      <alignment horizontal="center"/>
    </xf>
    <xf numFmtId="167" fontId="0" fillId="0" borderId="14" xfId="0" applyNumberFormat="1" applyBorder="1"/>
    <xf numFmtId="0" fontId="0" fillId="32" borderId="15" xfId="0" applyFill="1" applyBorder="1" applyAlignment="1">
      <alignment vertical="top" wrapText="1"/>
    </xf>
    <xf numFmtId="0" fontId="0" fillId="32" borderId="15" xfId="0" applyFill="1" applyBorder="1" applyAlignment="1">
      <alignment horizontal="center" vertical="top" wrapText="1"/>
    </xf>
    <xf numFmtId="15" fontId="0" fillId="32" borderId="15" xfId="0" applyNumberFormat="1" applyFill="1" applyBorder="1" applyAlignment="1" applyProtection="1">
      <alignment horizontal="center" vertical="top" wrapText="1"/>
      <protection locked="0"/>
    </xf>
    <xf numFmtId="165" fontId="3" fillId="32" borderId="10" xfId="0" applyNumberFormat="1" applyFont="1" applyFill="1" applyBorder="1" applyAlignment="1">
      <alignment vertical="top" wrapText="1"/>
    </xf>
    <xf numFmtId="0" fontId="1" fillId="32" borderId="17" xfId="0" applyFont="1" applyFill="1" applyBorder="1" applyAlignment="1">
      <alignment horizontal="left" vertical="top" wrapText="1"/>
    </xf>
    <xf numFmtId="0" fontId="1" fillId="24" borderId="10" xfId="0" applyFont="1" applyFill="1" applyBorder="1" applyAlignment="1">
      <alignment horizontal="center" vertical="top" wrapText="1"/>
    </xf>
    <xf numFmtId="0" fontId="0" fillId="0" borderId="13" xfId="0" applyFont="1" applyFill="1" applyBorder="1"/>
    <xf numFmtId="165" fontId="1" fillId="24" borderId="10" xfId="0" applyNumberFormat="1" applyFont="1" applyFill="1" applyBorder="1" applyAlignment="1">
      <alignment vertical="top" wrapText="1"/>
    </xf>
    <xf numFmtId="15" fontId="1" fillId="24" borderId="17" xfId="0" applyNumberFormat="1" applyFont="1" applyFill="1" applyBorder="1" applyAlignment="1" applyProtection="1">
      <alignment horizontal="center" vertical="top" wrapText="1"/>
      <protection locked="0"/>
    </xf>
    <xf numFmtId="0" fontId="2" fillId="33" borderId="24" xfId="0" applyFont="1" applyFill="1" applyBorder="1"/>
    <xf numFmtId="0" fontId="1" fillId="0" borderId="0" xfId="0" applyFont="1" applyFill="1" applyBorder="1"/>
    <xf numFmtId="165" fontId="1" fillId="33" borderId="10" xfId="0" applyNumberFormat="1" applyFont="1" applyFill="1" applyBorder="1" applyAlignment="1">
      <alignment horizontal="center"/>
    </xf>
    <xf numFmtId="17" fontId="0" fillId="33" borderId="10" xfId="0" applyNumberFormat="1" applyFill="1" applyBorder="1" applyAlignment="1">
      <alignment horizontal="center"/>
    </xf>
    <xf numFmtId="168" fontId="0" fillId="0" borderId="0" xfId="50" applyFont="1"/>
    <xf numFmtId="168" fontId="1" fillId="0" borderId="0" xfId="50" applyFont="1" applyBorder="1" applyAlignment="1"/>
    <xf numFmtId="168" fontId="1" fillId="0" borderId="0" xfId="50" applyFont="1" applyBorder="1" applyAlignment="1">
      <alignment horizontal="center"/>
    </xf>
    <xf numFmtId="168" fontId="2" fillId="0" borderId="0" xfId="50" applyFont="1" applyBorder="1" applyAlignment="1">
      <alignment horizontal="center"/>
    </xf>
    <xf numFmtId="168" fontId="0" fillId="0" borderId="12" xfId="50" applyFont="1" applyBorder="1"/>
    <xf numFmtId="168" fontId="0" fillId="0" borderId="12" xfId="50" applyFont="1" applyBorder="1" applyAlignment="1">
      <alignment horizontal="center"/>
    </xf>
    <xf numFmtId="168" fontId="0" fillId="0" borderId="12" xfId="50" applyFont="1" applyFill="1" applyBorder="1" applyAlignment="1">
      <alignment horizontal="center"/>
    </xf>
    <xf numFmtId="168" fontId="0" fillId="0" borderId="25" xfId="50" applyFont="1" applyFill="1" applyBorder="1"/>
    <xf numFmtId="168" fontId="0" fillId="0" borderId="20" xfId="50" applyFont="1" applyBorder="1" applyAlignment="1">
      <alignment horizontal="center"/>
    </xf>
    <xf numFmtId="168" fontId="0" fillId="0" borderId="13" xfId="50" applyFont="1" applyFill="1" applyBorder="1" applyAlignment="1">
      <alignment horizontal="center"/>
    </xf>
    <xf numFmtId="168" fontId="0" fillId="0" borderId="13" xfId="50" applyFont="1" applyFill="1" applyBorder="1"/>
    <xf numFmtId="168" fontId="0" fillId="0" borderId="0" xfId="50" applyFont="1" applyFill="1" applyBorder="1"/>
    <xf numFmtId="168" fontId="0" fillId="0" borderId="13" xfId="50" applyFont="1" applyBorder="1"/>
    <xf numFmtId="168" fontId="0" fillId="0" borderId="13" xfId="50" applyFont="1" applyBorder="1" applyAlignment="1">
      <alignment horizontal="left"/>
    </xf>
    <xf numFmtId="1" fontId="0" fillId="24" borderId="12" xfId="50" applyNumberFormat="1" applyFont="1" applyFill="1" applyBorder="1" applyAlignment="1">
      <alignment vertical="top"/>
    </xf>
    <xf numFmtId="168" fontId="1" fillId="24" borderId="22" xfId="50" applyFont="1" applyFill="1" applyBorder="1" applyAlignment="1">
      <alignment vertical="top"/>
    </xf>
    <xf numFmtId="168" fontId="0" fillId="24" borderId="12" xfId="50" applyFont="1" applyFill="1" applyBorder="1" applyAlignment="1">
      <alignment vertical="top" wrapText="1"/>
    </xf>
    <xf numFmtId="168" fontId="0" fillId="24" borderId="21" xfId="50" applyFont="1" applyFill="1" applyBorder="1" applyAlignment="1">
      <alignment vertical="top"/>
    </xf>
    <xf numFmtId="1" fontId="0" fillId="0" borderId="12" xfId="50" applyNumberFormat="1" applyFont="1" applyFill="1" applyBorder="1" applyAlignment="1">
      <alignment horizontal="right" vertical="top"/>
    </xf>
    <xf numFmtId="1" fontId="0" fillId="0" borderId="25" xfId="50" applyNumberFormat="1" applyFont="1" applyBorder="1" applyAlignment="1">
      <alignment horizontal="right" vertical="top"/>
    </xf>
    <xf numFmtId="1" fontId="2" fillId="0" borderId="12" xfId="50" applyNumberFormat="1" applyFont="1" applyBorder="1" applyAlignment="1">
      <alignment horizontal="right" vertical="top"/>
    </xf>
    <xf numFmtId="1" fontId="0" fillId="0" borderId="12" xfId="50" applyNumberFormat="1" applyFont="1" applyBorder="1" applyAlignment="1">
      <alignment horizontal="right" vertical="top"/>
    </xf>
    <xf numFmtId="168" fontId="0" fillId="0" borderId="0" xfId="50" applyFont="1" applyBorder="1" applyAlignment="1">
      <alignment horizontal="right" vertical="top"/>
    </xf>
    <xf numFmtId="1" fontId="0" fillId="0" borderId="12" xfId="50" applyNumberFormat="1" applyFont="1" applyBorder="1"/>
    <xf numFmtId="168" fontId="0" fillId="0" borderId="14" xfId="50" applyFont="1" applyBorder="1"/>
    <xf numFmtId="1" fontId="0" fillId="24" borderId="10" xfId="50" applyNumberFormat="1" applyFont="1" applyFill="1" applyBorder="1" applyAlignment="1">
      <alignment vertical="top"/>
    </xf>
    <xf numFmtId="168" fontId="0" fillId="24" borderId="17" xfId="50" applyFont="1" applyFill="1" applyBorder="1" applyAlignment="1">
      <alignment vertical="top"/>
    </xf>
    <xf numFmtId="168" fontId="0" fillId="24" borderId="10" xfId="50" applyFont="1" applyFill="1" applyBorder="1" applyAlignment="1">
      <alignment vertical="top" wrapText="1"/>
    </xf>
    <xf numFmtId="168" fontId="0" fillId="24" borderId="0" xfId="50" applyFont="1" applyFill="1" applyBorder="1" applyAlignment="1">
      <alignment vertical="top"/>
    </xf>
    <xf numFmtId="1" fontId="2" fillId="24" borderId="10" xfId="50" applyNumberFormat="1" applyFont="1" applyFill="1" applyBorder="1" applyAlignment="1">
      <alignment vertical="top" wrapText="1"/>
    </xf>
    <xf numFmtId="1" fontId="0" fillId="0" borderId="10" xfId="50" applyNumberFormat="1" applyFont="1" applyFill="1" applyBorder="1" applyAlignment="1">
      <alignment horizontal="right" vertical="top"/>
    </xf>
    <xf numFmtId="1" fontId="0" fillId="0" borderId="26" xfId="50" applyNumberFormat="1" applyFont="1" applyBorder="1" applyAlignment="1">
      <alignment horizontal="right" vertical="top"/>
    </xf>
    <xf numFmtId="168" fontId="0" fillId="0" borderId="15" xfId="50" applyNumberFormat="1" applyFont="1" applyBorder="1" applyAlignment="1">
      <alignment vertical="top"/>
    </xf>
    <xf numFmtId="1" fontId="0" fillId="0" borderId="10" xfId="50" applyNumberFormat="1" applyFont="1" applyBorder="1" applyAlignment="1">
      <alignment vertical="top"/>
    </xf>
    <xf numFmtId="1" fontId="2" fillId="0" borderId="10" xfId="50" applyNumberFormat="1" applyFont="1" applyBorder="1" applyAlignment="1">
      <alignment horizontal="right" vertical="top"/>
    </xf>
    <xf numFmtId="1" fontId="0" fillId="0" borderId="10" xfId="50" applyNumberFormat="1" applyFont="1" applyBorder="1" applyAlignment="1">
      <alignment horizontal="right" vertical="top"/>
    </xf>
    <xf numFmtId="1" fontId="0" fillId="0" borderId="10" xfId="50" applyNumberFormat="1" applyFont="1" applyBorder="1"/>
    <xf numFmtId="168" fontId="0" fillId="0" borderId="15" xfId="50" applyFont="1" applyBorder="1"/>
    <xf numFmtId="168" fontId="0" fillId="0" borderId="10" xfId="50" applyFont="1" applyBorder="1"/>
    <xf numFmtId="168" fontId="1" fillId="24" borderId="10" xfId="50" applyFont="1" applyFill="1" applyBorder="1" applyAlignment="1">
      <alignment vertical="top" wrapText="1"/>
    </xf>
    <xf numFmtId="1" fontId="0" fillId="25" borderId="10" xfId="50" applyNumberFormat="1" applyFont="1" applyFill="1" applyBorder="1" applyAlignment="1">
      <alignment vertical="top"/>
    </xf>
    <xf numFmtId="168" fontId="0" fillId="25" borderId="17" xfId="50" applyFont="1" applyFill="1" applyBorder="1" applyAlignment="1">
      <alignment vertical="top"/>
    </xf>
    <xf numFmtId="168" fontId="0" fillId="25" borderId="10" xfId="50" applyFont="1" applyFill="1" applyBorder="1" applyAlignment="1">
      <alignment vertical="top" wrapText="1"/>
    </xf>
    <xf numFmtId="168" fontId="0" fillId="25" borderId="0" xfId="50" applyFont="1" applyFill="1" applyBorder="1" applyAlignment="1">
      <alignment vertical="top"/>
    </xf>
    <xf numFmtId="1" fontId="0" fillId="25" borderId="10" xfId="50" applyNumberFormat="1" applyFont="1" applyFill="1" applyBorder="1" applyAlignment="1">
      <alignment vertical="top" wrapText="1"/>
    </xf>
    <xf numFmtId="1" fontId="0" fillId="25" borderId="10" xfId="50" applyNumberFormat="1" applyFont="1" applyFill="1" applyBorder="1" applyAlignment="1">
      <alignment horizontal="right" vertical="top"/>
    </xf>
    <xf numFmtId="1" fontId="0" fillId="25" borderId="26" xfId="50" applyNumberFormat="1" applyFont="1" applyFill="1" applyBorder="1" applyAlignment="1">
      <alignment horizontal="right" vertical="top"/>
    </xf>
    <xf numFmtId="168" fontId="0" fillId="24" borderId="10" xfId="50" applyFont="1" applyFill="1" applyBorder="1" applyAlignment="1">
      <alignment horizontal="center" vertical="top" wrapText="1"/>
    </xf>
    <xf numFmtId="1" fontId="2" fillId="24" borderId="10" xfId="50" applyNumberFormat="1" applyFont="1" applyFill="1" applyBorder="1" applyAlignment="1">
      <alignment horizontal="left" vertical="top"/>
    </xf>
    <xf numFmtId="1" fontId="2" fillId="0" borderId="10" xfId="50" applyNumberFormat="1" applyFont="1" applyBorder="1" applyAlignment="1">
      <alignment vertical="top"/>
    </xf>
    <xf numFmtId="168" fontId="0" fillId="24" borderId="17" xfId="50" applyFont="1" applyFill="1" applyBorder="1" applyAlignment="1">
      <alignment vertical="top" wrapText="1"/>
    </xf>
    <xf numFmtId="1" fontId="0" fillId="0" borderId="26" xfId="50" applyNumberFormat="1" applyFont="1" applyFill="1" applyBorder="1" applyAlignment="1">
      <alignment horizontal="right" vertical="top"/>
    </xf>
    <xf numFmtId="1" fontId="2" fillId="0" borderId="10" xfId="50" applyNumberFormat="1" applyFont="1" applyFill="1" applyBorder="1" applyAlignment="1">
      <alignment horizontal="right" vertical="top"/>
    </xf>
    <xf numFmtId="168" fontId="0" fillId="0" borderId="0" xfId="50" applyFont="1" applyFill="1" applyBorder="1" applyAlignment="1">
      <alignment horizontal="right" vertical="top"/>
    </xf>
    <xf numFmtId="168" fontId="0" fillId="29" borderId="10" xfId="50" applyFont="1" applyFill="1" applyBorder="1"/>
    <xf numFmtId="1" fontId="2" fillId="24" borderId="10" xfId="50" applyNumberFormat="1" applyFont="1" applyFill="1" applyBorder="1" applyAlignment="1">
      <alignment horizontal="left" vertical="top" wrapText="1"/>
    </xf>
    <xf numFmtId="168" fontId="0" fillId="0" borderId="17" xfId="50" applyFont="1" applyBorder="1" applyAlignment="1">
      <alignment vertical="top"/>
    </xf>
    <xf numFmtId="168" fontId="0" fillId="0" borderId="10" xfId="50" applyFont="1" applyFill="1" applyBorder="1" applyAlignment="1">
      <alignment vertical="top" wrapText="1"/>
    </xf>
    <xf numFmtId="168" fontId="0" fillId="0" borderId="0" xfId="50" applyFont="1" applyFill="1" applyBorder="1" applyAlignment="1">
      <alignment vertical="top"/>
    </xf>
    <xf numFmtId="1" fontId="0" fillId="0" borderId="10" xfId="50" applyNumberFormat="1" applyFont="1" applyFill="1" applyBorder="1" applyAlignment="1">
      <alignment vertical="top" wrapText="1"/>
    </xf>
    <xf numFmtId="1" fontId="0" fillId="0" borderId="26" xfId="50" applyNumberFormat="1" applyFont="1" applyBorder="1" applyAlignment="1">
      <alignment vertical="top"/>
    </xf>
    <xf numFmtId="168" fontId="0" fillId="0" borderId="15" xfId="50" applyNumberFormat="1" applyFont="1" applyFill="1" applyBorder="1" applyAlignment="1">
      <alignment vertical="top" wrapText="1"/>
    </xf>
    <xf numFmtId="1" fontId="0" fillId="0" borderId="10" xfId="50" applyNumberFormat="1" applyFont="1" applyBorder="1" applyAlignment="1">
      <alignment horizontal="left" vertical="top"/>
    </xf>
    <xf numFmtId="168" fontId="0" fillId="0" borderId="0" xfId="50" applyFont="1" applyBorder="1" applyAlignment="1">
      <alignment vertical="top"/>
    </xf>
    <xf numFmtId="168" fontId="0" fillId="24" borderId="15" xfId="50" applyNumberFormat="1" applyFont="1" applyFill="1" applyBorder="1" applyAlignment="1">
      <alignment vertical="top" wrapText="1"/>
    </xf>
    <xf numFmtId="168" fontId="0" fillId="25" borderId="15" xfId="50" applyNumberFormat="1" applyFont="1" applyFill="1" applyBorder="1" applyAlignment="1">
      <alignment vertical="top"/>
    </xf>
    <xf numFmtId="1" fontId="0" fillId="32" borderId="10" xfId="50" applyNumberFormat="1" applyFont="1" applyFill="1" applyBorder="1" applyAlignment="1">
      <alignment vertical="top"/>
    </xf>
    <xf numFmtId="168" fontId="0" fillId="32" borderId="17" xfId="50" applyFont="1" applyFill="1" applyBorder="1" applyAlignment="1">
      <alignment vertical="top"/>
    </xf>
    <xf numFmtId="168" fontId="1" fillId="32" borderId="10" xfId="50" applyFont="1" applyFill="1" applyBorder="1" applyAlignment="1">
      <alignment vertical="top" wrapText="1"/>
    </xf>
    <xf numFmtId="168" fontId="0" fillId="32" borderId="0" xfId="50" applyFont="1" applyFill="1" applyBorder="1" applyAlignment="1">
      <alignment vertical="top"/>
    </xf>
    <xf numFmtId="168" fontId="0" fillId="32" borderId="10" xfId="50" applyFont="1" applyFill="1" applyBorder="1" applyAlignment="1">
      <alignment vertical="top" wrapText="1"/>
    </xf>
    <xf numFmtId="1" fontId="2" fillId="32" borderId="10" xfId="50" applyNumberFormat="1" applyFont="1" applyFill="1" applyBorder="1" applyAlignment="1">
      <alignment horizontal="left" vertical="top" wrapText="1"/>
    </xf>
    <xf numFmtId="1" fontId="0" fillId="33" borderId="10" xfId="50" applyNumberFormat="1" applyFont="1" applyFill="1" applyBorder="1" applyAlignment="1">
      <alignment horizontal="right" vertical="top"/>
    </xf>
    <xf numFmtId="1" fontId="0" fillId="33" borderId="26" xfId="50" applyNumberFormat="1" applyFont="1" applyFill="1" applyBorder="1" applyAlignment="1">
      <alignment horizontal="right" vertical="top"/>
    </xf>
    <xf numFmtId="168" fontId="0" fillId="33" borderId="15" xfId="50" applyNumberFormat="1" applyFont="1" applyFill="1" applyBorder="1" applyAlignment="1">
      <alignment vertical="top"/>
    </xf>
    <xf numFmtId="1" fontId="0" fillId="33" borderId="10" xfId="50" applyNumberFormat="1" applyFont="1" applyFill="1" applyBorder="1" applyAlignment="1">
      <alignment vertical="top"/>
    </xf>
    <xf numFmtId="1" fontId="2" fillId="33" borderId="10" xfId="50" applyNumberFormat="1" applyFont="1" applyFill="1" applyBorder="1" applyAlignment="1">
      <alignment horizontal="right" vertical="top"/>
    </xf>
    <xf numFmtId="168" fontId="0" fillId="0" borderId="0" xfId="50" applyFont="1" applyBorder="1" applyAlignment="1">
      <alignment horizontal="left" vertical="top"/>
    </xf>
    <xf numFmtId="1" fontId="0" fillId="0" borderId="10" xfId="50" applyNumberFormat="1" applyFont="1" applyFill="1" applyBorder="1"/>
    <xf numFmtId="168" fontId="0" fillId="0" borderId="15" xfId="50" applyFont="1" applyFill="1" applyBorder="1"/>
    <xf numFmtId="1" fontId="0" fillId="0" borderId="11" xfId="50" applyNumberFormat="1" applyFont="1" applyFill="1" applyBorder="1"/>
    <xf numFmtId="168" fontId="0" fillId="0" borderId="16" xfId="50" applyFont="1" applyFill="1" applyBorder="1"/>
    <xf numFmtId="168" fontId="0" fillId="0" borderId="11" xfId="50" applyFont="1" applyBorder="1"/>
    <xf numFmtId="168" fontId="0" fillId="0" borderId="10" xfId="50" applyFont="1" applyBorder="1" applyAlignment="1">
      <alignment vertical="top" wrapText="1"/>
    </xf>
    <xf numFmtId="1" fontId="0" fillId="0" borderId="10" xfId="50" applyNumberFormat="1" applyFont="1" applyBorder="1" applyAlignment="1">
      <alignment vertical="top" wrapText="1"/>
    </xf>
    <xf numFmtId="1" fontId="1" fillId="25" borderId="10" xfId="50" applyNumberFormat="1" applyFont="1" applyFill="1" applyBorder="1" applyAlignment="1">
      <alignment vertical="top"/>
    </xf>
    <xf numFmtId="168" fontId="1" fillId="25" borderId="17" xfId="50" applyFont="1" applyFill="1" applyBorder="1" applyAlignment="1">
      <alignment vertical="top"/>
    </xf>
    <xf numFmtId="168" fontId="1" fillId="25" borderId="10" xfId="50" applyFont="1" applyFill="1" applyBorder="1" applyAlignment="1">
      <alignment vertical="top" wrapText="1"/>
    </xf>
    <xf numFmtId="168" fontId="1" fillId="25" borderId="0" xfId="50" applyFont="1" applyFill="1" applyBorder="1" applyAlignment="1">
      <alignment vertical="top"/>
    </xf>
    <xf numFmtId="1" fontId="1" fillId="25" borderId="10" xfId="50" applyNumberFormat="1" applyFont="1" applyFill="1" applyBorder="1" applyAlignment="1">
      <alignment vertical="top" wrapText="1"/>
    </xf>
    <xf numFmtId="1" fontId="1" fillId="25" borderId="10" xfId="50" applyNumberFormat="1" applyFont="1" applyFill="1" applyBorder="1" applyAlignment="1">
      <alignment horizontal="right" vertical="top"/>
    </xf>
    <xf numFmtId="1" fontId="1" fillId="25" borderId="26" xfId="50" applyNumberFormat="1" applyFont="1" applyFill="1" applyBorder="1" applyAlignment="1">
      <alignment horizontal="right" vertical="top"/>
    </xf>
    <xf numFmtId="168" fontId="1" fillId="25" borderId="15" xfId="50" applyNumberFormat="1" applyFont="1" applyFill="1" applyBorder="1" applyAlignment="1">
      <alignment vertical="top"/>
    </xf>
    <xf numFmtId="168" fontId="1" fillId="0" borderId="0" xfId="50" applyFont="1" applyFill="1"/>
    <xf numFmtId="168" fontId="0" fillId="24" borderId="0" xfId="50" applyFont="1" applyFill="1" applyBorder="1" applyAlignment="1">
      <alignment horizontal="left" vertical="top"/>
    </xf>
    <xf numFmtId="17" fontId="0" fillId="0" borderId="0" xfId="50" applyNumberFormat="1" applyFont="1" applyBorder="1" applyAlignment="1">
      <alignment horizontal="right" vertical="top"/>
    </xf>
    <xf numFmtId="1" fontId="0" fillId="0" borderId="26" xfId="50" quotePrefix="1" applyNumberFormat="1" applyFont="1" applyBorder="1" applyAlignment="1">
      <alignment horizontal="right" vertical="top"/>
    </xf>
    <xf numFmtId="17" fontId="0" fillId="0" borderId="0" xfId="50" quotePrefix="1" applyNumberFormat="1" applyFont="1" applyBorder="1" applyAlignment="1">
      <alignment horizontal="right" vertical="top"/>
    </xf>
    <xf numFmtId="168" fontId="0" fillId="0" borderId="15" xfId="50" quotePrefix="1" applyNumberFormat="1" applyFont="1" applyBorder="1" applyAlignment="1">
      <alignment vertical="top"/>
    </xf>
    <xf numFmtId="1" fontId="0" fillId="0" borderId="10" xfId="50" quotePrefix="1" applyNumberFormat="1" applyFont="1" applyBorder="1" applyAlignment="1">
      <alignment vertical="top"/>
    </xf>
    <xf numFmtId="1" fontId="0" fillId="0" borderId="10" xfId="50" quotePrefix="1" applyNumberFormat="1" applyFont="1" applyBorder="1" applyAlignment="1">
      <alignment horizontal="right" vertical="top"/>
    </xf>
    <xf numFmtId="1" fontId="2" fillId="32" borderId="10" xfId="50" applyNumberFormat="1" applyFont="1" applyFill="1" applyBorder="1" applyAlignment="1">
      <alignment vertical="top" wrapText="1"/>
    </xf>
    <xf numFmtId="1" fontId="1" fillId="0" borderId="10" xfId="50" applyNumberFormat="1" applyFont="1" applyBorder="1" applyAlignment="1">
      <alignment horizontal="right" vertical="top"/>
    </xf>
    <xf numFmtId="168" fontId="1" fillId="32" borderId="17" xfId="50" applyFont="1" applyFill="1" applyBorder="1" applyAlignment="1">
      <alignment vertical="top"/>
    </xf>
    <xf numFmtId="1" fontId="2" fillId="32" borderId="17" xfId="50" applyNumberFormat="1" applyFont="1" applyFill="1" applyBorder="1" applyAlignment="1">
      <alignment vertical="top" wrapText="1"/>
    </xf>
    <xf numFmtId="1" fontId="0" fillId="0" borderId="27" xfId="50" applyNumberFormat="1" applyFont="1" applyBorder="1" applyAlignment="1">
      <alignment horizontal="right" vertical="top"/>
    </xf>
    <xf numFmtId="1" fontId="2" fillId="32" borderId="10" xfId="50" applyNumberFormat="1" applyFont="1" applyFill="1" applyBorder="1" applyAlignment="1">
      <alignment horizontal="left" vertical="top"/>
    </xf>
    <xf numFmtId="1" fontId="0" fillId="25" borderId="0" xfId="50" applyNumberFormat="1" applyFont="1" applyFill="1"/>
    <xf numFmtId="1" fontId="0" fillId="25" borderId="10" xfId="50" applyNumberFormat="1" applyFont="1" applyFill="1" applyBorder="1" applyAlignment="1">
      <alignment horizontal="right" vertical="top" wrapText="1"/>
    </xf>
    <xf numFmtId="1" fontId="0" fillId="0" borderId="10" xfId="50" applyNumberFormat="1" applyFont="1" applyBorder="1" applyAlignment="1">
      <alignment horizontal="right" vertical="top" wrapText="1"/>
    </xf>
    <xf numFmtId="1" fontId="0" fillId="35" borderId="10" xfId="50" applyNumberFormat="1" applyFont="1" applyFill="1" applyBorder="1" applyAlignment="1">
      <alignment vertical="top"/>
    </xf>
    <xf numFmtId="168" fontId="0" fillId="35" borderId="17" xfId="50" applyFont="1" applyFill="1" applyBorder="1" applyAlignment="1">
      <alignment vertical="top"/>
    </xf>
    <xf numFmtId="168" fontId="0" fillId="35" borderId="10" xfId="50" applyFont="1" applyFill="1" applyBorder="1" applyAlignment="1">
      <alignment vertical="top" wrapText="1"/>
    </xf>
    <xf numFmtId="168" fontId="0" fillId="35" borderId="0" xfId="50" applyFont="1" applyFill="1" applyBorder="1" applyAlignment="1">
      <alignment vertical="top"/>
    </xf>
    <xf numFmtId="1" fontId="0" fillId="35" borderId="10" xfId="50" applyNumberFormat="1" applyFont="1" applyFill="1" applyBorder="1" applyAlignment="1">
      <alignment vertical="top" wrapText="1"/>
    </xf>
    <xf numFmtId="1" fontId="0" fillId="35" borderId="10" xfId="50" applyNumberFormat="1" applyFont="1" applyFill="1" applyBorder="1" applyAlignment="1">
      <alignment horizontal="right" vertical="top"/>
    </xf>
    <xf numFmtId="1" fontId="0" fillId="35" borderId="26" xfId="50" applyNumberFormat="1" applyFont="1" applyFill="1" applyBorder="1" applyAlignment="1">
      <alignment horizontal="right" vertical="top"/>
    </xf>
    <xf numFmtId="1" fontId="0" fillId="25" borderId="27" xfId="50" applyNumberFormat="1" applyFont="1" applyFill="1" applyBorder="1" applyAlignment="1">
      <alignment horizontal="right" vertical="top"/>
    </xf>
    <xf numFmtId="1" fontId="0" fillId="0" borderId="15" xfId="50" applyNumberFormat="1" applyFont="1" applyBorder="1" applyAlignment="1">
      <alignment horizontal="right" vertical="top"/>
    </xf>
    <xf numFmtId="168" fontId="1" fillId="24" borderId="17" xfId="50" applyFont="1" applyFill="1" applyBorder="1" applyAlignment="1">
      <alignment vertical="top"/>
    </xf>
    <xf numFmtId="1" fontId="0" fillId="0" borderId="10" xfId="50" applyNumberFormat="1" applyFont="1" applyFill="1" applyBorder="1" applyAlignment="1">
      <alignment vertical="top"/>
    </xf>
    <xf numFmtId="168" fontId="0" fillId="0" borderId="17" xfId="50" applyFont="1" applyFill="1" applyBorder="1" applyAlignment="1">
      <alignment vertical="top"/>
    </xf>
    <xf numFmtId="168" fontId="0" fillId="33" borderId="10" xfId="50" applyFont="1" applyFill="1" applyBorder="1" applyAlignment="1">
      <alignment vertical="top" wrapText="1"/>
    </xf>
    <xf numFmtId="1" fontId="2" fillId="32" borderId="26" xfId="50" applyNumberFormat="1" applyFont="1" applyFill="1" applyBorder="1" applyAlignment="1">
      <alignment horizontal="left" vertical="top"/>
    </xf>
    <xf numFmtId="1" fontId="1" fillId="0" borderId="26" xfId="50" applyNumberFormat="1" applyFont="1" applyBorder="1" applyAlignment="1">
      <alignment horizontal="right" vertical="top"/>
    </xf>
    <xf numFmtId="168" fontId="1" fillId="32" borderId="0" xfId="50" applyFont="1" applyFill="1" applyBorder="1" applyAlignment="1">
      <alignment vertical="top"/>
    </xf>
    <xf numFmtId="1" fontId="0" fillId="38" borderId="10" xfId="50" applyNumberFormat="1" applyFont="1" applyFill="1" applyBorder="1" applyAlignment="1">
      <alignment vertical="top"/>
    </xf>
    <xf numFmtId="168" fontId="1" fillId="38" borderId="17" xfId="50" applyFont="1" applyFill="1" applyBorder="1" applyAlignment="1">
      <alignment vertical="top"/>
    </xf>
    <xf numFmtId="168" fontId="1" fillId="38" borderId="10" xfId="50" applyFont="1" applyFill="1" applyBorder="1" applyAlignment="1">
      <alignment vertical="top" wrapText="1"/>
    </xf>
    <xf numFmtId="168" fontId="0" fillId="38" borderId="0" xfId="50" applyFont="1" applyFill="1" applyBorder="1" applyAlignment="1">
      <alignment vertical="top"/>
    </xf>
    <xf numFmtId="1" fontId="2" fillId="38" borderId="10" xfId="50" applyNumberFormat="1" applyFont="1" applyFill="1" applyBorder="1" applyAlignment="1">
      <alignment horizontal="left" vertical="top" wrapText="1"/>
    </xf>
    <xf numFmtId="1" fontId="0" fillId="38" borderId="10" xfId="50" applyNumberFormat="1" applyFont="1" applyFill="1" applyBorder="1" applyAlignment="1">
      <alignment horizontal="right" vertical="top"/>
    </xf>
    <xf numFmtId="1" fontId="1" fillId="38" borderId="26" xfId="50" applyNumberFormat="1" applyFont="1" applyFill="1" applyBorder="1" applyAlignment="1">
      <alignment horizontal="right" vertical="top"/>
    </xf>
    <xf numFmtId="17" fontId="0" fillId="33" borderId="0" xfId="50" applyNumberFormat="1" applyFont="1" applyFill="1" applyBorder="1" applyAlignment="1">
      <alignment horizontal="right" vertical="top"/>
    </xf>
    <xf numFmtId="168" fontId="0" fillId="33" borderId="0" xfId="50" applyFont="1" applyFill="1"/>
    <xf numFmtId="168" fontId="1" fillId="33" borderId="17" xfId="50" applyFont="1" applyFill="1" applyBorder="1" applyAlignment="1">
      <alignment vertical="top"/>
    </xf>
    <xf numFmtId="168" fontId="1" fillId="33" borderId="10" xfId="50" applyFont="1" applyFill="1" applyBorder="1" applyAlignment="1">
      <alignment vertical="top" wrapText="1"/>
    </xf>
    <xf numFmtId="168" fontId="1" fillId="33" borderId="0" xfId="50" applyFont="1" applyFill="1" applyBorder="1" applyAlignment="1">
      <alignment vertical="top"/>
    </xf>
    <xf numFmtId="1" fontId="2" fillId="33" borderId="10" xfId="50" applyNumberFormat="1" applyFont="1" applyFill="1" applyBorder="1" applyAlignment="1">
      <alignment horizontal="left" vertical="top" wrapText="1"/>
    </xf>
    <xf numFmtId="168" fontId="0" fillId="33" borderId="0" xfId="50" applyFont="1" applyFill="1" applyBorder="1" applyAlignment="1">
      <alignment vertical="top"/>
    </xf>
    <xf numFmtId="1" fontId="1" fillId="33" borderId="26" xfId="50" applyNumberFormat="1" applyFont="1" applyFill="1" applyBorder="1" applyAlignment="1">
      <alignment horizontal="right" vertical="top"/>
    </xf>
    <xf numFmtId="1" fontId="0" fillId="0" borderId="11" xfId="50" applyNumberFormat="1" applyFont="1" applyBorder="1" applyAlignment="1">
      <alignment vertical="top"/>
    </xf>
    <xf numFmtId="168" fontId="0" fillId="0" borderId="18" xfId="50" applyFont="1" applyBorder="1" applyAlignment="1">
      <alignment vertical="top"/>
    </xf>
    <xf numFmtId="168" fontId="0" fillId="0" borderId="11" xfId="50" applyFont="1" applyFill="1" applyBorder="1" applyAlignment="1">
      <alignment vertical="top" wrapText="1"/>
    </xf>
    <xf numFmtId="168" fontId="0" fillId="0" borderId="19" xfId="50" applyFont="1" applyBorder="1" applyAlignment="1">
      <alignment vertical="top"/>
    </xf>
    <xf numFmtId="168" fontId="0" fillId="0" borderId="11" xfId="50" applyFont="1" applyBorder="1" applyAlignment="1">
      <alignment vertical="top" wrapText="1"/>
    </xf>
    <xf numFmtId="1" fontId="0" fillId="0" borderId="11" xfId="50" applyNumberFormat="1" applyFont="1" applyBorder="1" applyAlignment="1">
      <alignment horizontal="left" vertical="top" wrapText="1"/>
    </xf>
    <xf numFmtId="1" fontId="0" fillId="0" borderId="28" xfId="50" applyNumberFormat="1" applyFont="1" applyBorder="1" applyAlignment="1">
      <alignment horizontal="right" vertical="top"/>
    </xf>
    <xf numFmtId="168" fontId="0" fillId="0" borderId="16" xfId="50" applyNumberFormat="1" applyFont="1" applyBorder="1" applyAlignment="1">
      <alignment vertical="top"/>
    </xf>
    <xf numFmtId="1" fontId="0" fillId="0" borderId="11" xfId="50" applyNumberFormat="1" applyFont="1" applyBorder="1" applyAlignment="1">
      <alignment horizontal="right" vertical="top"/>
    </xf>
    <xf numFmtId="168" fontId="0" fillId="0" borderId="0" xfId="50" applyFont="1" applyFill="1" applyBorder="1" applyAlignment="1">
      <alignment vertical="top" wrapText="1"/>
    </xf>
    <xf numFmtId="168" fontId="0" fillId="0" borderId="0" xfId="50" applyFont="1" applyBorder="1" applyAlignment="1">
      <alignment vertical="top" wrapText="1"/>
    </xf>
    <xf numFmtId="1" fontId="0" fillId="0" borderId="0" xfId="50" applyNumberFormat="1" applyFont="1" applyBorder="1" applyAlignment="1">
      <alignment horizontal="left" vertical="top" wrapText="1"/>
    </xf>
    <xf numFmtId="168" fontId="0" fillId="0" borderId="0" xfId="50" applyNumberFormat="1" applyFont="1" applyBorder="1" applyAlignment="1">
      <alignment vertical="top"/>
    </xf>
    <xf numFmtId="168" fontId="0" fillId="0" borderId="0" xfId="50" applyNumberFormat="1" applyFont="1" applyBorder="1" applyAlignment="1">
      <alignment horizontal="right" vertical="top"/>
    </xf>
    <xf numFmtId="168" fontId="0" fillId="0" borderId="17" xfId="50" applyFont="1" applyFill="1" applyBorder="1"/>
    <xf numFmtId="168" fontId="0" fillId="0" borderId="0" xfId="50" applyFont="1" applyBorder="1"/>
    <xf numFmtId="168" fontId="0" fillId="0" borderId="0" xfId="50" applyFont="1" applyAlignment="1">
      <alignment vertical="top" wrapText="1"/>
    </xf>
    <xf numFmtId="168" fontId="0" fillId="0" borderId="0" xfId="50" applyNumberFormat="1" applyFont="1"/>
    <xf numFmtId="168" fontId="0" fillId="0" borderId="0" xfId="50" applyFont="1" applyBorder="1" applyAlignment="1">
      <alignment horizontal="right"/>
    </xf>
    <xf numFmtId="17" fontId="0" fillId="0" borderId="0" xfId="50" applyNumberFormat="1" applyFont="1" applyBorder="1" applyAlignment="1">
      <alignment horizontal="right"/>
    </xf>
    <xf numFmtId="168" fontId="0" fillId="0" borderId="0" xfId="50" applyNumberFormat="1" applyFont="1" applyBorder="1" applyAlignment="1">
      <alignment horizontal="right"/>
    </xf>
    <xf numFmtId="2" fontId="0" fillId="0" borderId="10" xfId="0" applyNumberFormat="1" applyFill="1" applyBorder="1" applyAlignment="1">
      <alignment vertical="top" wrapText="1"/>
    </xf>
    <xf numFmtId="0" fontId="1" fillId="32" borderId="10" xfId="0" applyFont="1" applyFill="1" applyBorder="1" applyAlignment="1">
      <alignment horizontal="center" vertical="top"/>
    </xf>
    <xf numFmtId="0" fontId="0" fillId="32" borderId="17" xfId="0" applyFill="1" applyBorder="1" applyAlignment="1">
      <alignment horizontal="left" vertical="top" wrapText="1"/>
    </xf>
    <xf numFmtId="0" fontId="3" fillId="32" borderId="10" xfId="0" applyFont="1" applyFill="1" applyBorder="1" applyAlignment="1">
      <alignment horizontal="left" vertical="top" wrapText="1"/>
    </xf>
    <xf numFmtId="0" fontId="0" fillId="32" borderId="10" xfId="0" applyFill="1" applyBorder="1" applyAlignment="1">
      <alignment horizontal="left" vertical="top"/>
    </xf>
    <xf numFmtId="0" fontId="3" fillId="0" borderId="0" xfId="0" applyFont="1" applyFill="1" applyAlignment="1">
      <alignment horizontal="center"/>
    </xf>
    <xf numFmtId="0" fontId="0" fillId="32" borderId="10" xfId="0" applyFont="1" applyFill="1" applyBorder="1" applyAlignment="1">
      <alignment horizontal="center" vertical="top" wrapText="1"/>
    </xf>
    <xf numFmtId="0" fontId="3" fillId="0" borderId="0" xfId="0" applyFont="1" applyAlignment="1">
      <alignment horizontal="center"/>
    </xf>
    <xf numFmtId="0" fontId="1" fillId="33" borderId="10" xfId="0" applyFont="1" applyFill="1" applyBorder="1" applyAlignment="1">
      <alignment vertical="top"/>
    </xf>
    <xf numFmtId="165" fontId="0" fillId="33" borderId="0" xfId="0" applyNumberFormat="1" applyFill="1" applyBorder="1" applyAlignment="1">
      <alignment vertical="top" wrapText="1"/>
    </xf>
    <xf numFmtId="15" fontId="0" fillId="32" borderId="15" xfId="0" applyNumberFormat="1" applyFill="1" applyBorder="1" applyAlignment="1">
      <alignment horizontal="center" vertical="top" wrapText="1"/>
    </xf>
    <xf numFmtId="0" fontId="0" fillId="33" borderId="17" xfId="0" applyFill="1" applyBorder="1" applyAlignment="1">
      <alignment horizontal="left" vertical="top" wrapText="1"/>
    </xf>
    <xf numFmtId="0" fontId="3" fillId="33" borderId="17" xfId="0" applyFont="1" applyFill="1" applyBorder="1" applyAlignment="1">
      <alignment vertical="top" wrapText="1"/>
    </xf>
    <xf numFmtId="165" fontId="0" fillId="37" borderId="10" xfId="0" applyNumberFormat="1" applyFill="1" applyBorder="1" applyAlignment="1">
      <alignment vertical="top" wrapText="1"/>
    </xf>
    <xf numFmtId="168" fontId="0" fillId="33" borderId="10" xfId="50" applyFont="1" applyFill="1" applyBorder="1" applyAlignment="1">
      <alignment horizontal="center" vertical="top" wrapText="1"/>
    </xf>
    <xf numFmtId="1" fontId="2" fillId="33" borderId="10" xfId="50" applyNumberFormat="1" applyFont="1" applyFill="1" applyBorder="1" applyAlignment="1">
      <alignment horizontal="left" vertical="top"/>
    </xf>
    <xf numFmtId="168" fontId="0" fillId="33" borderId="15" xfId="50" applyNumberFormat="1" applyFont="1" applyFill="1" applyBorder="1" applyAlignment="1">
      <alignment vertical="top" wrapText="1"/>
    </xf>
    <xf numFmtId="0" fontId="0" fillId="37" borderId="10" xfId="0" applyFill="1" applyBorder="1" applyAlignment="1">
      <alignment vertical="top" wrapText="1"/>
    </xf>
    <xf numFmtId="0" fontId="1" fillId="0" borderId="15" xfId="0" applyFont="1" applyBorder="1"/>
    <xf numFmtId="15" fontId="0" fillId="33" borderId="11" xfId="0" applyNumberFormat="1" applyFill="1" applyBorder="1" applyAlignment="1">
      <alignment horizontal="center" vertical="top" wrapText="1"/>
    </xf>
    <xf numFmtId="0" fontId="1" fillId="33" borderId="11" xfId="0" applyFont="1" applyFill="1" applyBorder="1" applyAlignment="1">
      <alignment vertical="top" wrapText="1"/>
    </xf>
    <xf numFmtId="0" fontId="1" fillId="0" borderId="11" xfId="0" applyFont="1" applyBorder="1" applyAlignment="1">
      <alignment horizontal="center" vertical="top" wrapText="1"/>
    </xf>
    <xf numFmtId="1" fontId="0" fillId="0" borderId="11" xfId="0" applyNumberFormat="1" applyBorder="1" applyAlignment="1">
      <alignment vertical="top" wrapText="1"/>
    </xf>
    <xf numFmtId="0" fontId="0" fillId="0" borderId="18" xfId="0" applyBorder="1" applyAlignment="1">
      <alignment horizontal="center" vertical="top" wrapText="1"/>
    </xf>
    <xf numFmtId="0" fontId="38" fillId="0" borderId="11" xfId="0" applyFont="1" applyBorder="1" applyAlignment="1">
      <alignment vertical="top" wrapText="1"/>
    </xf>
    <xf numFmtId="0" fontId="0" fillId="33" borderId="17" xfId="0" applyFill="1" applyBorder="1" applyAlignment="1">
      <alignment horizontal="center" vertical="top" wrapText="1"/>
    </xf>
    <xf numFmtId="0" fontId="0" fillId="25" borderId="10" xfId="0" applyFill="1" applyBorder="1" applyAlignment="1">
      <alignment horizontal="center" vertical="top" wrapText="1"/>
    </xf>
    <xf numFmtId="1" fontId="0" fillId="32" borderId="17" xfId="0" applyNumberFormat="1" applyFill="1" applyBorder="1" applyAlignment="1">
      <alignment horizontal="right" vertical="top" wrapText="1"/>
    </xf>
    <xf numFmtId="1" fontId="0" fillId="32" borderId="0" xfId="0" applyNumberFormat="1" applyFill="1" applyBorder="1" applyAlignment="1">
      <alignment horizontal="right" vertical="top" wrapText="1"/>
    </xf>
    <xf numFmtId="15" fontId="0" fillId="0" borderId="10" xfId="0" applyNumberFormat="1" applyFill="1" applyBorder="1" applyAlignment="1" applyProtection="1">
      <alignment horizontal="center" vertical="top" wrapText="1"/>
      <protection locked="0"/>
    </xf>
    <xf numFmtId="0" fontId="0" fillId="37" borderId="17" xfId="0" applyFill="1" applyBorder="1" applyAlignment="1">
      <alignment vertical="top" wrapText="1"/>
    </xf>
    <xf numFmtId="0" fontId="1" fillId="0" borderId="20" xfId="0" applyFont="1" applyFill="1" applyBorder="1" applyAlignment="1">
      <alignment horizontal="center" wrapText="1"/>
    </xf>
    <xf numFmtId="0" fontId="1" fillId="25" borderId="10" xfId="0" applyFont="1" applyFill="1" applyBorder="1" applyAlignment="1">
      <alignment vertical="top" wrapText="1"/>
    </xf>
    <xf numFmtId="0" fontId="1" fillId="0" borderId="0" xfId="0" applyFont="1" applyBorder="1" applyAlignment="1">
      <alignment vertical="top"/>
    </xf>
    <xf numFmtId="15" fontId="0" fillId="0" borderId="15" xfId="0" applyNumberFormat="1" applyFill="1" applyBorder="1" applyAlignment="1">
      <alignment horizontal="center" vertical="top" wrapText="1"/>
    </xf>
    <xf numFmtId="15" fontId="0" fillId="0" borderId="15" xfId="0" applyNumberFormat="1" applyFill="1" applyBorder="1" applyAlignment="1" applyProtection="1">
      <alignment horizontal="center" vertical="top" wrapText="1"/>
      <protection locked="0"/>
    </xf>
    <xf numFmtId="168" fontId="1" fillId="32" borderId="0" xfId="39" applyNumberFormat="1" applyFill="1"/>
    <xf numFmtId="168" fontId="2" fillId="0" borderId="0" xfId="39" applyNumberFormat="1" applyFont="1" applyAlignment="1">
      <alignment horizontal="right" vertical="center" wrapText="1"/>
    </xf>
    <xf numFmtId="168" fontId="2" fillId="35" borderId="0" xfId="39" applyNumberFormat="1" applyFont="1" applyFill="1" applyAlignment="1">
      <alignment horizontal="right" vertical="center" wrapText="1"/>
    </xf>
    <xf numFmtId="166" fontId="1" fillId="39" borderId="0" xfId="39" applyNumberFormat="1" applyFill="1" applyAlignment="1">
      <alignment horizontal="center" vertical="center" wrapText="1"/>
    </xf>
    <xf numFmtId="168" fontId="1" fillId="0" borderId="0" xfId="39" applyNumberFormat="1" applyAlignment="1">
      <alignment vertical="top" wrapText="1"/>
    </xf>
    <xf numFmtId="168" fontId="1" fillId="0" borderId="0" xfId="39" applyNumberFormat="1"/>
    <xf numFmtId="165" fontId="1" fillId="0" borderId="0" xfId="39" applyNumberFormat="1"/>
    <xf numFmtId="166" fontId="1" fillId="0" borderId="0" xfId="39" applyNumberFormat="1" applyAlignment="1">
      <alignment horizontal="center" vertical="top"/>
    </xf>
    <xf numFmtId="168" fontId="1" fillId="0" borderId="0" xfId="39" applyNumberFormat="1" applyAlignment="1">
      <alignment horizontal="center"/>
    </xf>
    <xf numFmtId="0" fontId="1" fillId="0" borderId="0" xfId="39" applyNumberFormat="1" applyAlignment="1">
      <alignment vertical="top" wrapText="1"/>
    </xf>
    <xf numFmtId="1" fontId="1" fillId="0" borderId="0" xfId="39" applyNumberFormat="1" applyAlignment="1">
      <alignment vertical="top" wrapText="1"/>
    </xf>
    <xf numFmtId="15" fontId="1" fillId="0" borderId="0" xfId="39" applyNumberFormat="1" applyAlignment="1">
      <alignment horizontal="center" vertical="top"/>
    </xf>
    <xf numFmtId="15" fontId="1" fillId="0" borderId="0" xfId="39" applyNumberFormat="1" applyAlignment="1">
      <alignment horizontal="center"/>
    </xf>
    <xf numFmtId="14" fontId="1" fillId="0" borderId="0" xfId="39" applyNumberFormat="1" applyAlignment="1">
      <alignment horizontal="center"/>
    </xf>
    <xf numFmtId="1" fontId="1" fillId="0" borderId="0" xfId="39" applyNumberFormat="1" applyAlignment="1">
      <alignment horizontal="center" vertical="top" wrapText="1"/>
    </xf>
    <xf numFmtId="14" fontId="1" fillId="0" borderId="0" xfId="39" applyNumberFormat="1" applyAlignment="1">
      <alignment horizontal="right"/>
    </xf>
    <xf numFmtId="1" fontId="1" fillId="33" borderId="0" xfId="39" applyNumberFormat="1" applyFill="1" applyAlignment="1">
      <alignment horizontal="right" vertical="top" wrapText="1"/>
    </xf>
    <xf numFmtId="2" fontId="1" fillId="0" borderId="0" xfId="39" applyNumberFormat="1" applyAlignment="1">
      <alignment horizontal="right" vertical="top" wrapText="1"/>
    </xf>
    <xf numFmtId="14" fontId="1" fillId="0" borderId="0" xfId="39" applyNumberFormat="1" applyAlignment="1">
      <alignment horizontal="right" vertical="top" wrapText="1"/>
    </xf>
    <xf numFmtId="168" fontId="2" fillId="0" borderId="0" xfId="39" applyNumberFormat="1" applyFont="1" applyFill="1"/>
    <xf numFmtId="1" fontId="1" fillId="0" borderId="10" xfId="0" applyNumberFormat="1" applyFont="1" applyFill="1" applyBorder="1" applyAlignment="1">
      <alignment vertical="top" wrapText="1"/>
    </xf>
    <xf numFmtId="168" fontId="1" fillId="33" borderId="13" xfId="39" applyNumberFormat="1" applyFill="1" applyBorder="1" applyAlignment="1">
      <alignment horizontal="center"/>
    </xf>
    <xf numFmtId="0" fontId="0" fillId="0" borderId="10" xfId="0" applyFill="1" applyBorder="1" applyAlignment="1">
      <alignment vertical="top"/>
    </xf>
    <xf numFmtId="0" fontId="3" fillId="33" borderId="10" xfId="0" applyFont="1" applyFill="1" applyBorder="1" applyAlignment="1">
      <alignment vertical="top" wrapText="1"/>
    </xf>
    <xf numFmtId="1" fontId="0" fillId="33" borderId="17" xfId="0" applyNumberFormat="1" applyFill="1" applyBorder="1" applyAlignment="1">
      <alignment vertical="top" wrapText="1"/>
    </xf>
    <xf numFmtId="0" fontId="1" fillId="41" borderId="10" xfId="0" applyFont="1" applyFill="1" applyBorder="1" applyAlignment="1">
      <alignment vertical="top" wrapText="1"/>
    </xf>
    <xf numFmtId="2" fontId="1" fillId="33" borderId="0" xfId="39" applyNumberFormat="1" applyFill="1" applyAlignment="1">
      <alignment horizontal="right" vertical="top" wrapText="1"/>
    </xf>
    <xf numFmtId="0" fontId="1" fillId="33" borderId="23" xfId="0" applyFont="1" applyFill="1" applyBorder="1" applyAlignment="1">
      <alignment horizontal="center" wrapText="1"/>
    </xf>
    <xf numFmtId="0" fontId="1" fillId="33" borderId="17" xfId="0" applyFont="1" applyFill="1" applyBorder="1" applyAlignment="1">
      <alignment vertical="top"/>
    </xf>
    <xf numFmtId="0" fontId="0" fillId="33" borderId="17" xfId="0" applyFill="1" applyBorder="1"/>
    <xf numFmtId="0" fontId="0" fillId="33" borderId="18" xfId="0" applyFill="1" applyBorder="1" applyAlignment="1">
      <alignment vertical="top" wrapText="1"/>
    </xf>
    <xf numFmtId="0" fontId="0" fillId="41" borderId="17" xfId="0" applyFill="1" applyBorder="1" applyAlignment="1">
      <alignment vertical="top" wrapText="1"/>
    </xf>
    <xf numFmtId="1" fontId="0" fillId="41" borderId="17" xfId="0" applyNumberFormat="1" applyFill="1" applyBorder="1" applyAlignment="1">
      <alignment vertical="top" wrapText="1"/>
    </xf>
    <xf numFmtId="1" fontId="1" fillId="41" borderId="17" xfId="0" applyNumberFormat="1" applyFont="1" applyFill="1" applyBorder="1" applyAlignment="1">
      <alignment vertical="top" wrapText="1"/>
    </xf>
    <xf numFmtId="0" fontId="0" fillId="0" borderId="10" xfId="0" applyBorder="1" applyAlignment="1">
      <alignment vertical="top"/>
    </xf>
    <xf numFmtId="0" fontId="0" fillId="33" borderId="10" xfId="0" applyFill="1" applyBorder="1" applyAlignment="1">
      <alignment vertical="top"/>
    </xf>
    <xf numFmtId="1" fontId="0" fillId="32" borderId="10" xfId="0" applyNumberFormat="1" applyFill="1" applyBorder="1" applyAlignment="1">
      <alignment horizontal="right" vertical="top"/>
    </xf>
    <xf numFmtId="0" fontId="0" fillId="33" borderId="10" xfId="0" applyFill="1" applyBorder="1" applyAlignment="1">
      <alignment horizontal="center" vertical="top"/>
    </xf>
    <xf numFmtId="0" fontId="0" fillId="0" borderId="20" xfId="0" applyBorder="1" applyAlignment="1">
      <alignment horizontal="center"/>
    </xf>
    <xf numFmtId="1" fontId="0" fillId="26" borderId="15" xfId="0" applyNumberFormat="1" applyFill="1" applyBorder="1"/>
    <xf numFmtId="1" fontId="2" fillId="0" borderId="20" xfId="0" applyNumberFormat="1" applyFont="1" applyBorder="1" applyAlignment="1">
      <alignment horizontal="right"/>
    </xf>
    <xf numFmtId="165" fontId="0" fillId="26" borderId="15" xfId="0" applyNumberFormat="1" applyFill="1" applyBorder="1"/>
    <xf numFmtId="0" fontId="1" fillId="33" borderId="0" xfId="0" applyFont="1" applyFill="1" applyBorder="1" applyAlignment="1">
      <alignment vertical="top"/>
    </xf>
    <xf numFmtId="0" fontId="0" fillId="32" borderId="17" xfId="0" applyFill="1" applyBorder="1" applyAlignment="1">
      <alignment vertical="top"/>
    </xf>
    <xf numFmtId="165" fontId="0" fillId="32" borderId="17" xfId="0" applyNumberFormat="1" applyFill="1" applyBorder="1" applyAlignment="1">
      <alignment vertical="top"/>
    </xf>
    <xf numFmtId="1" fontId="0" fillId="32" borderId="0" xfId="0" applyNumberFormat="1" applyFill="1" applyBorder="1" applyAlignment="1">
      <alignment vertical="top"/>
    </xf>
    <xf numFmtId="15" fontId="0" fillId="32" borderId="17" xfId="0" applyNumberFormat="1" applyFill="1" applyBorder="1" applyAlignment="1">
      <alignment horizontal="center" vertical="top"/>
    </xf>
    <xf numFmtId="0" fontId="0" fillId="0" borderId="10" xfId="0" applyFill="1" applyBorder="1" applyAlignment="1">
      <alignment horizontal="center" vertical="top"/>
    </xf>
    <xf numFmtId="17" fontId="0" fillId="28" borderId="10" xfId="0" applyNumberFormat="1" applyFill="1" applyBorder="1" applyAlignment="1">
      <alignment horizontal="center" vertical="top"/>
    </xf>
    <xf numFmtId="0" fontId="1" fillId="0" borderId="10" xfId="0" applyFont="1" applyBorder="1" applyAlignment="1">
      <alignment horizontal="left" vertical="top" wrapText="1"/>
    </xf>
    <xf numFmtId="0" fontId="1" fillId="0" borderId="0" xfId="0" applyFont="1" applyBorder="1" applyAlignment="1">
      <alignment horizontal="left" vertical="top" wrapText="1"/>
    </xf>
    <xf numFmtId="0" fontId="0" fillId="40" borderId="10" xfId="0" applyFill="1" applyBorder="1" applyAlignment="1">
      <alignment horizontal="center"/>
    </xf>
    <xf numFmtId="2" fontId="0" fillId="33" borderId="10" xfId="0" applyNumberFormat="1" applyFill="1" applyBorder="1" applyAlignment="1">
      <alignment horizontal="center"/>
    </xf>
    <xf numFmtId="2" fontId="1" fillId="33" borderId="10" xfId="0" applyNumberFormat="1" applyFont="1" applyFill="1" applyBorder="1" applyAlignment="1">
      <alignment horizontal="center"/>
    </xf>
    <xf numFmtId="17" fontId="0" fillId="33" borderId="10" xfId="0" applyNumberFormat="1" applyFill="1" applyBorder="1" applyAlignment="1">
      <alignment horizontal="center" vertical="top" wrapText="1"/>
    </xf>
    <xf numFmtId="0" fontId="1" fillId="0" borderId="14" xfId="0" applyFont="1" applyBorder="1" applyAlignment="1">
      <alignment horizontal="left" vertical="top" wrapText="1"/>
    </xf>
    <xf numFmtId="0" fontId="1" fillId="0" borderId="13" xfId="0" applyFont="1" applyBorder="1" applyAlignment="1">
      <alignment horizontal="center"/>
    </xf>
    <xf numFmtId="0" fontId="0" fillId="33" borderId="11" xfId="0" applyFill="1" applyBorder="1" applyAlignment="1">
      <alignment vertical="top" wrapText="1"/>
    </xf>
    <xf numFmtId="1" fontId="0" fillId="32" borderId="0" xfId="0" applyNumberFormat="1" applyFill="1" applyBorder="1" applyAlignment="1">
      <alignment horizontal="right" vertical="top"/>
    </xf>
    <xf numFmtId="0" fontId="0" fillId="33" borderId="17" xfId="0" applyFill="1" applyBorder="1" applyAlignment="1">
      <alignment vertical="top"/>
    </xf>
    <xf numFmtId="1" fontId="0" fillId="32" borderId="17" xfId="0" applyNumberFormat="1" applyFill="1" applyBorder="1" applyAlignment="1">
      <alignment horizontal="right" vertical="top"/>
    </xf>
    <xf numFmtId="0" fontId="0" fillId="33" borderId="0" xfId="0" applyFill="1" applyAlignment="1">
      <alignment vertical="top"/>
    </xf>
    <xf numFmtId="165" fontId="0" fillId="0" borderId="10" xfId="0" applyNumberFormat="1" applyFill="1" applyBorder="1" applyAlignment="1">
      <alignment horizontal="right" vertical="top" wrapText="1"/>
    </xf>
    <xf numFmtId="0" fontId="1" fillId="0" borderId="11" xfId="0" applyFont="1" applyBorder="1" applyAlignment="1">
      <alignment vertical="top" wrapText="1"/>
    </xf>
    <xf numFmtId="0" fontId="1" fillId="0" borderId="19" xfId="0" applyFont="1" applyFill="1" applyBorder="1" applyAlignment="1">
      <alignment vertical="top" wrapText="1"/>
    </xf>
    <xf numFmtId="0" fontId="0" fillId="33" borderId="11" xfId="0" applyFill="1" applyBorder="1" applyAlignment="1">
      <alignment horizontal="center" vertical="top" wrapText="1"/>
    </xf>
    <xf numFmtId="17" fontId="0" fillId="28" borderId="11" xfId="0" applyNumberFormat="1" applyFill="1" applyBorder="1" applyAlignment="1">
      <alignment horizontal="center" vertical="top" wrapText="1"/>
    </xf>
    <xf numFmtId="17" fontId="1" fillId="28" borderId="10" xfId="0" applyNumberFormat="1" applyFont="1" applyFill="1" applyBorder="1" applyAlignment="1">
      <alignment horizontal="center"/>
    </xf>
    <xf numFmtId="165" fontId="0" fillId="37" borderId="17" xfId="0" applyNumberFormat="1" applyFill="1" applyBorder="1" applyAlignment="1">
      <alignment vertical="top" wrapText="1"/>
    </xf>
    <xf numFmtId="0" fontId="3" fillId="33" borderId="0" xfId="0" applyFont="1" applyFill="1" applyBorder="1" applyAlignment="1">
      <alignment vertical="top" wrapText="1"/>
    </xf>
    <xf numFmtId="0" fontId="0" fillId="33" borderId="22" xfId="0" applyFill="1" applyBorder="1"/>
    <xf numFmtId="167" fontId="0" fillId="0" borderId="11" xfId="0" applyNumberFormat="1" applyBorder="1"/>
    <xf numFmtId="168" fontId="0" fillId="33" borderId="17" xfId="50" applyFont="1" applyFill="1" applyBorder="1" applyAlignment="1">
      <alignment vertical="top" wrapText="1"/>
    </xf>
    <xf numFmtId="167" fontId="0" fillId="0" borderId="12" xfId="0" applyNumberFormat="1" applyBorder="1"/>
    <xf numFmtId="167" fontId="0" fillId="0" borderId="10" xfId="0" applyNumberFormat="1" applyBorder="1"/>
    <xf numFmtId="167" fontId="0" fillId="0" borderId="10" xfId="0" applyNumberFormat="1" applyFill="1" applyBorder="1"/>
    <xf numFmtId="168" fontId="0" fillId="38" borderId="17" xfId="50" applyFont="1" applyFill="1" applyBorder="1" applyAlignment="1">
      <alignment vertical="top"/>
    </xf>
    <xf numFmtId="168" fontId="0" fillId="38" borderId="10" xfId="50" applyFont="1" applyFill="1" applyBorder="1" applyAlignment="1">
      <alignment vertical="top" wrapText="1"/>
    </xf>
    <xf numFmtId="1" fontId="0" fillId="38" borderId="15" xfId="50" applyNumberFormat="1" applyFont="1" applyFill="1" applyBorder="1" applyAlignment="1">
      <alignment horizontal="right" vertical="top"/>
    </xf>
    <xf numFmtId="1" fontId="0" fillId="38" borderId="26" xfId="50" applyNumberFormat="1" applyFont="1" applyFill="1" applyBorder="1" applyAlignment="1">
      <alignment horizontal="right" vertical="top"/>
    </xf>
    <xf numFmtId="1" fontId="1" fillId="38" borderId="10" xfId="50" applyNumberFormat="1" applyFont="1" applyFill="1" applyBorder="1" applyAlignment="1">
      <alignment horizontal="left" vertical="top"/>
    </xf>
    <xf numFmtId="165" fontId="0" fillId="0" borderId="0" xfId="0" applyNumberFormat="1" applyFill="1" applyBorder="1"/>
    <xf numFmtId="0" fontId="1" fillId="0" borderId="0" xfId="0" applyFont="1" applyAlignment="1">
      <alignment vertical="top" wrapText="1"/>
    </xf>
    <xf numFmtId="1" fontId="0" fillId="37" borderId="10" xfId="0" applyNumberFormat="1" applyFill="1" applyBorder="1" applyAlignment="1">
      <alignment vertical="top"/>
    </xf>
    <xf numFmtId="0" fontId="0" fillId="35" borderId="0" xfId="0" applyFill="1" applyBorder="1" applyAlignment="1">
      <alignment horizontal="center" vertical="top" wrapText="1"/>
    </xf>
    <xf numFmtId="0" fontId="1" fillId="32" borderId="17" xfId="0" applyFont="1" applyFill="1" applyBorder="1" applyAlignment="1">
      <alignment horizontal="center" vertical="top"/>
    </xf>
    <xf numFmtId="1" fontId="0" fillId="32" borderId="17" xfId="0" applyNumberFormat="1" applyFill="1" applyBorder="1" applyAlignment="1">
      <alignment vertical="top"/>
    </xf>
    <xf numFmtId="0" fontId="0" fillId="37" borderId="10" xfId="0" applyFill="1" applyBorder="1" applyAlignment="1">
      <alignment vertical="top"/>
    </xf>
    <xf numFmtId="0" fontId="0" fillId="32" borderId="15" xfId="0" applyFill="1" applyBorder="1" applyAlignment="1">
      <alignment vertical="top"/>
    </xf>
    <xf numFmtId="15" fontId="0" fillId="32" borderId="15" xfId="0" applyNumberFormat="1" applyFill="1" applyBorder="1" applyAlignment="1">
      <alignment horizontal="center" vertical="top"/>
    </xf>
    <xf numFmtId="1" fontId="2" fillId="0" borderId="0" xfId="0" applyNumberFormat="1" applyFont="1" applyBorder="1" applyAlignment="1">
      <alignment horizontal="right"/>
    </xf>
    <xf numFmtId="0" fontId="1" fillId="40" borderId="10" xfId="0" applyFont="1" applyFill="1" applyBorder="1" applyAlignment="1">
      <alignment vertical="top" wrapText="1"/>
    </xf>
    <xf numFmtId="0" fontId="0" fillId="0" borderId="0" xfId="0" applyFill="1" applyAlignment="1">
      <alignment vertical="top"/>
    </xf>
    <xf numFmtId="1" fontId="1" fillId="32" borderId="10" xfId="0" applyNumberFormat="1" applyFont="1" applyFill="1" applyBorder="1" applyAlignment="1">
      <alignment vertical="top"/>
    </xf>
    <xf numFmtId="0" fontId="0" fillId="35" borderId="10" xfId="0" applyFill="1" applyBorder="1" applyAlignment="1">
      <alignment vertical="top"/>
    </xf>
    <xf numFmtId="15" fontId="0" fillId="0" borderId="10" xfId="0" applyNumberFormat="1" applyBorder="1" applyAlignment="1">
      <alignment horizontal="center" vertical="top" wrapText="1"/>
    </xf>
    <xf numFmtId="0" fontId="0" fillId="24" borderId="10" xfId="0" applyFill="1" applyBorder="1" applyAlignment="1">
      <alignment vertical="top"/>
    </xf>
    <xf numFmtId="1" fontId="0" fillId="24" borderId="10" xfId="0" applyNumberFormat="1" applyFill="1" applyBorder="1" applyAlignment="1">
      <alignment vertical="top"/>
    </xf>
    <xf numFmtId="0" fontId="1" fillId="0" borderId="10" xfId="0" applyFont="1" applyBorder="1" applyAlignment="1">
      <alignment horizontal="center" vertical="top"/>
    </xf>
    <xf numFmtId="0" fontId="1" fillId="0" borderId="10" xfId="0" applyFont="1" applyFill="1" applyBorder="1" applyAlignment="1">
      <alignment horizontal="center" vertical="top"/>
    </xf>
    <xf numFmtId="0" fontId="0" fillId="0" borderId="10" xfId="0" applyBorder="1" applyAlignment="1">
      <alignment horizontal="center" vertical="top"/>
    </xf>
    <xf numFmtId="0" fontId="0" fillId="35" borderId="10" xfId="0" applyFill="1" applyBorder="1" applyAlignment="1">
      <alignment horizontal="center" vertical="top"/>
    </xf>
    <xf numFmtId="0" fontId="1" fillId="24" borderId="10" xfId="0" applyFont="1" applyFill="1" applyBorder="1" applyAlignment="1">
      <alignment horizontal="center" vertical="top"/>
    </xf>
    <xf numFmtId="0" fontId="0" fillId="24" borderId="10" xfId="0" applyFill="1" applyBorder="1" applyAlignment="1">
      <alignment horizontal="center" vertical="top"/>
    </xf>
    <xf numFmtId="0" fontId="0" fillId="33" borderId="17" xfId="0" applyFill="1" applyBorder="1" applyAlignment="1">
      <alignment horizontal="center" vertical="top"/>
    </xf>
    <xf numFmtId="15" fontId="0" fillId="0" borderId="17" xfId="0" applyNumberFormat="1" applyFill="1" applyBorder="1" applyAlignment="1">
      <alignment horizontal="center" vertical="top" wrapText="1"/>
    </xf>
    <xf numFmtId="15" fontId="1" fillId="32" borderId="10" xfId="0" applyNumberFormat="1" applyFont="1" applyFill="1" applyBorder="1" applyAlignment="1">
      <alignment horizontal="center" vertical="top" wrapText="1"/>
    </xf>
    <xf numFmtId="0" fontId="0" fillId="32" borderId="15" xfId="0" applyFill="1" applyBorder="1" applyAlignment="1">
      <alignment horizontal="center" vertical="top"/>
    </xf>
    <xf numFmtId="0" fontId="0" fillId="35" borderId="17" xfId="0" applyFill="1" applyBorder="1" applyAlignment="1">
      <alignment horizontal="center" vertical="top" wrapText="1"/>
    </xf>
    <xf numFmtId="0" fontId="0" fillId="32" borderId="15" xfId="0" applyFill="1" applyBorder="1" applyAlignment="1">
      <alignment horizontal="left" vertical="top" wrapText="1"/>
    </xf>
    <xf numFmtId="9" fontId="0" fillId="24" borderId="15" xfId="0" applyNumberFormat="1" applyFill="1" applyBorder="1" applyAlignment="1">
      <alignment vertical="top" wrapText="1"/>
    </xf>
    <xf numFmtId="0" fontId="0" fillId="0" borderId="0" xfId="0" applyFill="1" applyBorder="1" applyAlignment="1">
      <alignment horizontal="center" vertical="top" wrapText="1"/>
    </xf>
    <xf numFmtId="0" fontId="0" fillId="25" borderId="0" xfId="0" applyFill="1" applyBorder="1" applyAlignment="1">
      <alignment horizontal="center" vertical="top" wrapText="1"/>
    </xf>
    <xf numFmtId="15" fontId="0" fillId="25" borderId="17" xfId="0" applyNumberFormat="1" applyFill="1" applyBorder="1" applyAlignment="1">
      <alignment horizontal="center" vertical="top" wrapText="1"/>
    </xf>
    <xf numFmtId="165" fontId="0" fillId="32" borderId="15" xfId="0" applyNumberFormat="1" applyFill="1" applyBorder="1" applyAlignment="1">
      <alignment vertical="top" wrapText="1"/>
    </xf>
    <xf numFmtId="165" fontId="0" fillId="37" borderId="10" xfId="0" applyNumberFormat="1" applyFill="1" applyBorder="1" applyAlignment="1">
      <alignment vertical="top"/>
    </xf>
    <xf numFmtId="15" fontId="0" fillId="0" borderId="10" xfId="0" applyNumberFormat="1" applyBorder="1" applyAlignment="1" applyProtection="1">
      <alignment horizontal="center" vertical="top" wrapText="1"/>
      <protection locked="0"/>
    </xf>
    <xf numFmtId="15" fontId="0" fillId="24" borderId="15" xfId="0" applyNumberFormat="1" applyFill="1" applyBorder="1" applyAlignment="1">
      <alignment horizontal="center" vertical="top" wrapText="1"/>
    </xf>
    <xf numFmtId="165" fontId="1" fillId="0" borderId="19" xfId="0" applyNumberFormat="1" applyFont="1" applyBorder="1"/>
    <xf numFmtId="15" fontId="1" fillId="24" borderId="10" xfId="0" applyNumberFormat="1" applyFont="1" applyFill="1" applyBorder="1" applyAlignment="1">
      <alignment horizontal="center" vertical="top" wrapText="1"/>
    </xf>
    <xf numFmtId="15" fontId="0" fillId="24" borderId="0" xfId="0" applyNumberFormat="1" applyFill="1" applyBorder="1" applyAlignment="1">
      <alignment horizontal="center" vertical="top" wrapText="1"/>
    </xf>
    <xf numFmtId="15" fontId="0" fillId="32" borderId="0" xfId="0" applyNumberFormat="1" applyFill="1" applyBorder="1" applyAlignment="1">
      <alignment horizontal="center" vertical="top"/>
    </xf>
    <xf numFmtId="15" fontId="0" fillId="32" borderId="0" xfId="0" applyNumberFormat="1" applyFill="1" applyBorder="1" applyAlignment="1">
      <alignment horizontal="center" vertical="top" wrapText="1"/>
    </xf>
    <xf numFmtId="15" fontId="0" fillId="0" borderId="0" xfId="0" applyNumberFormat="1" applyBorder="1" applyAlignment="1">
      <alignment horizontal="center" vertical="top" wrapText="1"/>
    </xf>
    <xf numFmtId="0" fontId="0" fillId="33" borderId="0" xfId="0" applyFill="1" applyBorder="1" applyAlignment="1">
      <alignment vertical="top"/>
    </xf>
    <xf numFmtId="0" fontId="0" fillId="24" borderId="15" xfId="0" applyFill="1" applyBorder="1" applyAlignment="1">
      <alignment vertical="top" wrapText="1"/>
    </xf>
    <xf numFmtId="165" fontId="3" fillId="34" borderId="10" xfId="0" applyNumberFormat="1" applyFont="1" applyFill="1" applyBorder="1" applyAlignment="1">
      <alignment vertical="top" wrapText="1"/>
    </xf>
    <xf numFmtId="0" fontId="1" fillId="32" borderId="15" xfId="0" applyFont="1" applyFill="1" applyBorder="1" applyAlignment="1">
      <alignment vertical="top"/>
    </xf>
    <xf numFmtId="0" fontId="1" fillId="32" borderId="15" xfId="0" applyFont="1" applyFill="1" applyBorder="1" applyAlignment="1">
      <alignment horizontal="center" vertical="top" wrapText="1"/>
    </xf>
    <xf numFmtId="1" fontId="0" fillId="0" borderId="17" xfId="0" applyNumberFormat="1" applyFill="1" applyBorder="1" applyAlignment="1">
      <alignment vertical="top" wrapText="1"/>
    </xf>
    <xf numFmtId="1" fontId="1" fillId="32" borderId="10" xfId="0" applyNumberFormat="1" applyFont="1" applyFill="1" applyBorder="1" applyAlignment="1">
      <alignment vertical="top" wrapText="1"/>
    </xf>
    <xf numFmtId="0" fontId="0" fillId="32" borderId="15" xfId="0" applyFill="1" applyBorder="1" applyAlignment="1">
      <alignment horizontal="left" vertical="top"/>
    </xf>
    <xf numFmtId="15" fontId="0" fillId="0" borderId="0" xfId="0" applyNumberFormat="1" applyFill="1" applyBorder="1" applyAlignment="1">
      <alignment horizontal="center" vertical="top" wrapText="1"/>
    </xf>
    <xf numFmtId="15" fontId="0" fillId="25" borderId="0" xfId="0" applyNumberFormat="1" applyFill="1" applyBorder="1" applyAlignment="1">
      <alignment horizontal="center" vertical="top" wrapText="1"/>
    </xf>
    <xf numFmtId="15" fontId="0" fillId="35" borderId="0" xfId="0" applyNumberFormat="1" applyFill="1" applyBorder="1" applyAlignment="1">
      <alignment horizontal="center" vertical="top" wrapText="1"/>
    </xf>
    <xf numFmtId="15" fontId="1" fillId="32" borderId="15" xfId="0" applyNumberFormat="1" applyFont="1" applyFill="1" applyBorder="1" applyAlignment="1">
      <alignment horizontal="center" vertical="top" wrapText="1"/>
    </xf>
    <xf numFmtId="9" fontId="3" fillId="0" borderId="10" xfId="0" applyNumberFormat="1" applyFont="1" applyFill="1" applyBorder="1" applyAlignment="1">
      <alignment vertical="top" wrapText="1"/>
    </xf>
    <xf numFmtId="1" fontId="0" fillId="37" borderId="10" xfId="0" applyNumberFormat="1" applyFill="1" applyBorder="1" applyAlignment="1">
      <alignment vertical="top" wrapText="1"/>
    </xf>
    <xf numFmtId="0" fontId="0" fillId="32" borderId="0" xfId="0" applyFill="1" applyBorder="1" applyAlignment="1">
      <alignment vertical="top"/>
    </xf>
    <xf numFmtId="0" fontId="0" fillId="33" borderId="0" xfId="0" applyFill="1" applyBorder="1" applyAlignment="1">
      <alignment horizontal="center" vertical="top" wrapText="1"/>
    </xf>
    <xf numFmtId="168" fontId="0" fillId="33" borderId="17" xfId="50" applyFont="1" applyFill="1" applyBorder="1" applyAlignment="1">
      <alignment vertical="top"/>
    </xf>
    <xf numFmtId="1" fontId="1" fillId="33" borderId="10" xfId="50" applyNumberFormat="1" applyFont="1" applyFill="1" applyBorder="1" applyAlignment="1">
      <alignment horizontal="left" vertical="top" wrapText="1"/>
    </xf>
    <xf numFmtId="2" fontId="0" fillId="0" borderId="21" xfId="0" applyNumberFormat="1" applyBorder="1"/>
    <xf numFmtId="2" fontId="1" fillId="0" borderId="0" xfId="0" applyNumberFormat="1" applyFont="1" applyBorder="1"/>
    <xf numFmtId="2" fontId="0" fillId="0" borderId="11" xfId="0" applyNumberFormat="1" applyBorder="1"/>
    <xf numFmtId="0" fontId="1" fillId="27" borderId="10" xfId="0" applyFont="1" applyFill="1" applyBorder="1"/>
    <xf numFmtId="165" fontId="0" fillId="24" borderId="10" xfId="0" applyNumberFormat="1" applyFill="1" applyBorder="1" applyAlignment="1">
      <alignment horizontal="left" vertical="top" wrapText="1"/>
    </xf>
    <xf numFmtId="0" fontId="1" fillId="33" borderId="17" xfId="0" applyFont="1" applyFill="1" applyBorder="1" applyAlignment="1">
      <alignment horizontal="left" vertical="top" wrapText="1"/>
    </xf>
    <xf numFmtId="0" fontId="0" fillId="35" borderId="10" xfId="0" applyFill="1" applyBorder="1" applyAlignment="1">
      <alignment horizontal="center" vertical="top" wrapText="1"/>
    </xf>
    <xf numFmtId="1" fontId="0" fillId="24" borderId="15" xfId="0" applyNumberFormat="1" applyFill="1" applyBorder="1" applyAlignment="1">
      <alignment vertical="top" wrapText="1"/>
    </xf>
    <xf numFmtId="15" fontId="0" fillId="24" borderId="10" xfId="0" applyNumberFormat="1" applyFill="1" applyBorder="1" applyAlignment="1" applyProtection="1">
      <alignment horizontal="center" vertical="top" wrapText="1"/>
      <protection locked="0"/>
    </xf>
    <xf numFmtId="0" fontId="1" fillId="41" borderId="17" xfId="0" applyFont="1" applyFill="1" applyBorder="1" applyAlignment="1">
      <alignment vertical="top" wrapText="1"/>
    </xf>
    <xf numFmtId="15" fontId="1" fillId="32" borderId="17" xfId="0" applyNumberFormat="1" applyFont="1" applyFill="1" applyBorder="1" applyAlignment="1">
      <alignment horizontal="center" vertical="top" wrapText="1"/>
    </xf>
    <xf numFmtId="1" fontId="0" fillId="34" borderId="10" xfId="0" applyNumberFormat="1" applyFill="1" applyBorder="1" applyAlignment="1">
      <alignment vertical="top" wrapText="1"/>
    </xf>
    <xf numFmtId="165" fontId="3" fillId="37" borderId="17" xfId="0" applyNumberFormat="1" applyFont="1" applyFill="1" applyBorder="1" applyAlignment="1">
      <alignment vertical="top" wrapText="1"/>
    </xf>
    <xf numFmtId="0" fontId="2" fillId="0" borderId="13" xfId="0" applyFont="1" applyFill="1" applyBorder="1" applyAlignment="1">
      <alignment horizontal="center"/>
    </xf>
    <xf numFmtId="0" fontId="1" fillId="26" borderId="10" xfId="0" applyFont="1" applyFill="1" applyBorder="1" applyAlignment="1">
      <alignment horizontal="center"/>
    </xf>
    <xf numFmtId="0" fontId="0" fillId="37" borderId="17" xfId="0" applyFill="1" applyBorder="1" applyAlignment="1">
      <alignment vertical="top"/>
    </xf>
    <xf numFmtId="165" fontId="1" fillId="32" borderId="17" xfId="0" applyNumberFormat="1" applyFont="1" applyFill="1" applyBorder="1" applyAlignment="1">
      <alignment vertical="top" wrapText="1"/>
    </xf>
    <xf numFmtId="17" fontId="0" fillId="0" borderId="23" xfId="0" applyNumberFormat="1" applyBorder="1" applyAlignment="1">
      <alignment horizontal="center"/>
    </xf>
    <xf numFmtId="17" fontId="0" fillId="0" borderId="24" xfId="0" applyNumberFormat="1" applyBorder="1" applyAlignment="1">
      <alignment horizontal="center"/>
    </xf>
    <xf numFmtId="17" fontId="0" fillId="0" borderId="20" xfId="0" applyNumberFormat="1" applyBorder="1" applyAlignment="1">
      <alignment horizontal="center"/>
    </xf>
    <xf numFmtId="17" fontId="0" fillId="0" borderId="22" xfId="0" applyNumberFormat="1" applyBorder="1" applyAlignment="1">
      <alignment horizontal="center"/>
    </xf>
    <xf numFmtId="17" fontId="0" fillId="0" borderId="21" xfId="0" applyNumberFormat="1" applyBorder="1" applyAlignment="1">
      <alignment horizontal="center"/>
    </xf>
    <xf numFmtId="17" fontId="0" fillId="0" borderId="14" xfId="0" applyNumberFormat="1" applyBorder="1" applyAlignment="1">
      <alignment horizontal="center"/>
    </xf>
    <xf numFmtId="1" fontId="1" fillId="0" borderId="0" xfId="0" applyNumberFormat="1" applyFont="1" applyBorder="1" applyAlignment="1">
      <alignment horizontal="right"/>
    </xf>
    <xf numFmtId="1" fontId="1" fillId="0" borderId="17" xfId="0" applyNumberFormat="1" applyFont="1" applyBorder="1" applyAlignment="1">
      <alignment horizontal="right"/>
    </xf>
    <xf numFmtId="1" fontId="1" fillId="0" borderId="15" xfId="0" applyNumberFormat="1" applyFont="1" applyBorder="1" applyAlignment="1">
      <alignment horizontal="right"/>
    </xf>
    <xf numFmtId="165" fontId="1" fillId="32" borderId="10" xfId="0" applyNumberFormat="1" applyFont="1" applyFill="1" applyBorder="1" applyAlignment="1">
      <alignment vertical="top" wrapText="1"/>
    </xf>
    <xf numFmtId="1" fontId="3" fillId="0" borderId="17" xfId="0" applyNumberFormat="1" applyFont="1" applyBorder="1"/>
    <xf numFmtId="1" fontId="3" fillId="0" borderId="15" xfId="0" applyNumberFormat="1" applyFont="1" applyBorder="1"/>
    <xf numFmtId="0" fontId="2" fillId="0" borderId="0" xfId="0" applyFont="1" applyFill="1" applyBorder="1" applyAlignment="1">
      <alignment horizontal="center"/>
    </xf>
    <xf numFmtId="0" fontId="0" fillId="33" borderId="0" xfId="0" applyFill="1" applyBorder="1" applyAlignment="1">
      <alignment horizontal="center"/>
    </xf>
    <xf numFmtId="0" fontId="1" fillId="0" borderId="0" xfId="0" applyFont="1" applyFill="1" applyBorder="1" applyAlignment="1">
      <alignment horizontal="left" vertical="top" wrapText="1"/>
    </xf>
    <xf numFmtId="15" fontId="0" fillId="33" borderId="0" xfId="0" applyNumberFormat="1" applyFill="1" applyBorder="1" applyAlignment="1">
      <alignment horizontal="center" vertical="top" wrapText="1"/>
    </xf>
    <xf numFmtId="0" fontId="1" fillId="32" borderId="0" xfId="0" applyFont="1" applyFill="1" applyBorder="1" applyAlignment="1">
      <alignment horizontal="left" vertical="top" wrapText="1"/>
    </xf>
    <xf numFmtId="15" fontId="0" fillId="32" borderId="0" xfId="0" applyNumberFormat="1" applyFill="1" applyBorder="1" applyAlignment="1" applyProtection="1">
      <alignment horizontal="center" vertical="top" wrapText="1"/>
      <protection locked="0"/>
    </xf>
    <xf numFmtId="15" fontId="0" fillId="24" borderId="0" xfId="0" applyNumberFormat="1" applyFill="1" applyBorder="1" applyAlignment="1" applyProtection="1">
      <alignment horizontal="center" vertical="top" wrapText="1"/>
      <protection locked="0"/>
    </xf>
    <xf numFmtId="0" fontId="1" fillId="32" borderId="15" xfId="0" applyFont="1" applyFill="1" applyBorder="1" applyAlignment="1">
      <alignment horizontal="left" vertical="top" wrapText="1"/>
    </xf>
    <xf numFmtId="0" fontId="1" fillId="32" borderId="0" xfId="0" applyFont="1" applyFill="1" applyBorder="1" applyAlignment="1">
      <alignment vertical="top"/>
    </xf>
    <xf numFmtId="0" fontId="0" fillId="0" borderId="0" xfId="0" applyFill="1" applyBorder="1" applyAlignment="1">
      <alignment vertical="top"/>
    </xf>
    <xf numFmtId="1" fontId="0" fillId="25" borderId="17" xfId="0" applyNumberFormat="1" applyFill="1" applyBorder="1" applyAlignment="1">
      <alignment vertical="top" wrapText="1"/>
    </xf>
    <xf numFmtId="1" fontId="0" fillId="35" borderId="17" xfId="0" applyNumberFormat="1" applyFill="1" applyBorder="1" applyAlignment="1">
      <alignment vertical="top" wrapText="1"/>
    </xf>
    <xf numFmtId="1" fontId="0" fillId="0" borderId="0" xfId="0" applyNumberFormat="1" applyFill="1" applyBorder="1" applyAlignment="1">
      <alignment vertical="top" wrapText="1"/>
    </xf>
    <xf numFmtId="1" fontId="0" fillId="0" borderId="15" xfId="0" applyNumberFormat="1" applyFill="1" applyBorder="1" applyAlignment="1">
      <alignment vertical="top" wrapText="1"/>
    </xf>
    <xf numFmtId="15" fontId="0" fillId="0" borderId="17" xfId="0" applyNumberFormat="1" applyBorder="1" applyAlignment="1" applyProtection="1">
      <alignment horizontal="center" vertical="top" wrapText="1"/>
      <protection locked="0"/>
    </xf>
    <xf numFmtId="15" fontId="0" fillId="0" borderId="17" xfId="0" applyNumberFormat="1" applyFill="1" applyBorder="1" applyAlignment="1" applyProtection="1">
      <alignment horizontal="center" vertical="top" wrapText="1"/>
      <protection locked="0"/>
    </xf>
    <xf numFmtId="15" fontId="0" fillId="0" borderId="17" xfId="0" applyNumberFormat="1" applyBorder="1" applyAlignment="1">
      <alignment horizontal="center" vertical="top" wrapText="1"/>
    </xf>
    <xf numFmtId="165" fontId="3" fillId="0" borderId="17" xfId="0" applyNumberFormat="1" applyFont="1" applyFill="1" applyBorder="1" applyAlignment="1">
      <alignment vertical="top" wrapText="1"/>
    </xf>
    <xf numFmtId="1" fontId="0" fillId="33" borderId="0" xfId="0" applyNumberFormat="1" applyFill="1" applyBorder="1" applyAlignment="1">
      <alignment vertical="top" wrapText="1"/>
    </xf>
    <xf numFmtId="165" fontId="1" fillId="0" borderId="10" xfId="0" applyNumberFormat="1" applyFont="1" applyFill="1" applyBorder="1" applyAlignment="1">
      <alignment vertical="top" wrapText="1"/>
    </xf>
    <xf numFmtId="0" fontId="1" fillId="0" borderId="10" xfId="0" applyFont="1" applyFill="1" applyBorder="1" applyAlignment="1">
      <alignment vertical="top"/>
    </xf>
    <xf numFmtId="0" fontId="0" fillId="24" borderId="15" xfId="0" applyFill="1" applyBorder="1" applyAlignment="1">
      <alignment horizontal="center" vertical="top" wrapText="1"/>
    </xf>
    <xf numFmtId="1" fontId="3" fillId="0" borderId="17" xfId="0" applyNumberFormat="1" applyFont="1" applyFill="1" applyBorder="1" applyAlignment="1">
      <alignment vertical="top" wrapText="1"/>
    </xf>
    <xf numFmtId="165" fontId="0" fillId="37" borderId="15" xfId="0" applyNumberFormat="1" applyFill="1" applyBorder="1" applyAlignment="1">
      <alignment vertical="top" wrapText="1"/>
    </xf>
    <xf numFmtId="15" fontId="2" fillId="0" borderId="11" xfId="0" applyNumberFormat="1" applyFont="1" applyBorder="1" applyAlignment="1">
      <alignment horizontal="center"/>
    </xf>
    <xf numFmtId="0" fontId="2" fillId="0" borderId="20" xfId="0" applyFont="1" applyBorder="1" applyAlignment="1">
      <alignment horizontal="center"/>
    </xf>
    <xf numFmtId="0" fontId="0" fillId="0" borderId="13" xfId="0" applyBorder="1" applyAlignment="1">
      <alignment horizontal="center" vertical="top"/>
    </xf>
    <xf numFmtId="0" fontId="0" fillId="0" borderId="23" xfId="0" applyBorder="1" applyAlignment="1">
      <alignment horizontal="center" vertical="top" wrapText="1"/>
    </xf>
    <xf numFmtId="0" fontId="0" fillId="0" borderId="24" xfId="0" applyBorder="1" applyAlignment="1">
      <alignment horizontal="center" vertical="top" wrapText="1"/>
    </xf>
    <xf numFmtId="0" fontId="1" fillId="0" borderId="24" xfId="0" applyFont="1" applyBorder="1" applyAlignment="1">
      <alignment horizontal="center" vertical="top" wrapText="1"/>
    </xf>
    <xf numFmtId="0" fontId="0" fillId="0" borderId="20" xfId="0" applyBorder="1" applyAlignment="1">
      <alignment horizontal="center" vertical="top" wrapText="1"/>
    </xf>
    <xf numFmtId="0" fontId="0" fillId="0" borderId="22" xfId="0" applyBorder="1" applyAlignment="1">
      <alignment horizontal="center" vertical="top" wrapText="1"/>
    </xf>
    <xf numFmtId="0" fontId="1" fillId="0" borderId="21" xfId="0" applyFont="1" applyBorder="1" applyAlignment="1">
      <alignment horizontal="center" vertical="top" wrapText="1"/>
    </xf>
    <xf numFmtId="0" fontId="0" fillId="0" borderId="21" xfId="0" applyBorder="1" applyAlignment="1">
      <alignment horizontal="center" vertical="top" wrapText="1"/>
    </xf>
    <xf numFmtId="0" fontId="1" fillId="0" borderId="18" xfId="0" applyFont="1" applyFill="1" applyBorder="1"/>
    <xf numFmtId="1" fontId="1" fillId="0" borderId="13" xfId="0" applyNumberFormat="1" applyFont="1" applyBorder="1"/>
    <xf numFmtId="0" fontId="1" fillId="33" borderId="10" xfId="0" applyFont="1" applyFill="1" applyBorder="1" applyAlignment="1">
      <alignment horizontal="left" vertical="top"/>
    </xf>
    <xf numFmtId="0" fontId="1" fillId="24" borderId="0" xfId="0" applyFont="1" applyFill="1" applyBorder="1" applyAlignment="1">
      <alignment horizontal="center" vertical="top" wrapText="1"/>
    </xf>
    <xf numFmtId="15" fontId="0" fillId="0" borderId="16" xfId="0" applyNumberFormat="1" applyBorder="1" applyAlignment="1">
      <alignment horizontal="center" vertical="top" wrapText="1"/>
    </xf>
    <xf numFmtId="0" fontId="1" fillId="0" borderId="13" xfId="0" applyFont="1" applyBorder="1" applyAlignment="1">
      <alignment horizontal="left"/>
    </xf>
    <xf numFmtId="0" fontId="0" fillId="24" borderId="10" xfId="0" applyFill="1" applyBorder="1" applyAlignment="1">
      <alignment horizontal="left" vertical="top" wrapText="1"/>
    </xf>
    <xf numFmtId="0" fontId="0" fillId="0" borderId="23" xfId="0" applyFill="1" applyBorder="1" applyAlignment="1">
      <alignment horizontal="center"/>
    </xf>
    <xf numFmtId="0" fontId="1" fillId="32" borderId="17" xfId="0" applyFont="1" applyFill="1" applyBorder="1" applyAlignment="1">
      <alignment vertical="top"/>
    </xf>
    <xf numFmtId="0" fontId="0" fillId="24" borderId="17" xfId="0" applyFill="1" applyBorder="1" applyAlignment="1">
      <alignment vertical="top"/>
    </xf>
    <xf numFmtId="0" fontId="0" fillId="0" borderId="17" xfId="0" applyBorder="1" applyAlignment="1">
      <alignment vertical="top"/>
    </xf>
    <xf numFmtId="0" fontId="3" fillId="24" borderId="10" xfId="0" applyFont="1" applyFill="1" applyBorder="1" applyAlignment="1">
      <alignment vertical="top"/>
    </xf>
    <xf numFmtId="0" fontId="1" fillId="24" borderId="10" xfId="35" applyFont="1" applyFill="1" applyBorder="1" applyAlignment="1" applyProtection="1">
      <alignment vertical="top"/>
    </xf>
    <xf numFmtId="0" fontId="0" fillId="0" borderId="10" xfId="0" applyFill="1" applyBorder="1" applyAlignment="1">
      <alignment horizontal="left" vertical="top" wrapText="1"/>
    </xf>
    <xf numFmtId="14" fontId="1" fillId="32" borderId="10" xfId="0" applyNumberFormat="1" applyFont="1" applyFill="1" applyBorder="1" applyAlignment="1">
      <alignment vertical="top" wrapText="1"/>
    </xf>
    <xf numFmtId="1" fontId="0" fillId="0" borderId="20" xfId="0" applyNumberFormat="1" applyFill="1" applyBorder="1" applyAlignment="1">
      <alignment horizontal="center" wrapText="1"/>
    </xf>
    <xf numFmtId="1" fontId="0" fillId="24" borderId="17" xfId="0" applyNumberFormat="1" applyFill="1" applyBorder="1" applyAlignment="1">
      <alignment vertical="top"/>
    </xf>
    <xf numFmtId="1" fontId="0" fillId="0" borderId="17" xfId="0" applyNumberFormat="1" applyBorder="1" applyAlignment="1">
      <alignment vertical="top" wrapText="1"/>
    </xf>
    <xf numFmtId="1" fontId="1" fillId="32" borderId="17" xfId="0" applyNumberFormat="1" applyFont="1" applyFill="1" applyBorder="1" applyAlignment="1">
      <alignment vertical="top" wrapText="1"/>
    </xf>
    <xf numFmtId="1" fontId="0" fillId="0" borderId="18" xfId="0" applyNumberFormat="1" applyBorder="1" applyAlignment="1">
      <alignment vertical="top" wrapText="1"/>
    </xf>
    <xf numFmtId="0" fontId="1" fillId="24" borderId="17" xfId="0" applyFont="1" applyFill="1" applyBorder="1" applyAlignment="1">
      <alignment vertical="top" wrapText="1"/>
    </xf>
    <xf numFmtId="1" fontId="0" fillId="32" borderId="10" xfId="0" applyNumberFormat="1" applyFill="1" applyBorder="1" applyAlignment="1">
      <alignment horizontal="right" vertical="top" wrapText="1"/>
    </xf>
    <xf numFmtId="15" fontId="0" fillId="24" borderId="15" xfId="0" applyNumberFormat="1" applyFill="1" applyBorder="1" applyAlignment="1" applyProtection="1">
      <alignment horizontal="center" vertical="top" wrapText="1"/>
      <protection locked="0"/>
    </xf>
    <xf numFmtId="164" fontId="0" fillId="32" borderId="10" xfId="28" applyFont="1" applyFill="1" applyBorder="1" applyAlignment="1">
      <alignment horizontal="center" vertical="top"/>
    </xf>
    <xf numFmtId="0" fontId="1" fillId="33" borderId="10" xfId="0" applyFont="1" applyFill="1" applyBorder="1" applyAlignment="1">
      <alignment horizontal="center"/>
    </xf>
    <xf numFmtId="0" fontId="0" fillId="35" borderId="17" xfId="0" applyFill="1" applyBorder="1" applyAlignment="1">
      <alignment vertical="top"/>
    </xf>
    <xf numFmtId="0" fontId="0" fillId="35" borderId="17" xfId="0" applyFill="1" applyBorder="1" applyAlignment="1">
      <alignment horizontal="center" vertical="top"/>
    </xf>
    <xf numFmtId="1" fontId="1" fillId="33" borderId="17" xfId="0" applyNumberFormat="1" applyFont="1" applyFill="1" applyBorder="1" applyAlignment="1">
      <alignment vertical="top"/>
    </xf>
    <xf numFmtId="0" fontId="1" fillId="0" borderId="0" xfId="0" applyFont="1" applyFill="1" applyBorder="1" applyAlignment="1">
      <alignment vertical="top"/>
    </xf>
    <xf numFmtId="0" fontId="3" fillId="0" borderId="0" xfId="0" applyFont="1" applyBorder="1" applyAlignment="1">
      <alignment vertical="top"/>
    </xf>
    <xf numFmtId="165" fontId="0" fillId="24" borderId="17" xfId="0" applyNumberFormat="1" applyFill="1" applyBorder="1" applyAlignment="1">
      <alignment horizontal="left" vertical="top" wrapText="1"/>
    </xf>
    <xf numFmtId="0" fontId="1" fillId="35" borderId="17" xfId="0" applyFont="1" applyFill="1" applyBorder="1" applyAlignment="1">
      <alignment vertical="top" wrapText="1"/>
    </xf>
    <xf numFmtId="0" fontId="1" fillId="33" borderId="17" xfId="0" applyFont="1" applyFill="1" applyBorder="1" applyAlignment="1">
      <alignment horizontal="center" vertical="top"/>
    </xf>
    <xf numFmtId="1" fontId="15" fillId="0" borderId="0" xfId="0" applyNumberFormat="1" applyFont="1" applyFill="1" applyBorder="1" applyAlignment="1">
      <alignment vertical="top"/>
    </xf>
    <xf numFmtId="0" fontId="0" fillId="32" borderId="10" xfId="0" applyFont="1" applyFill="1" applyBorder="1" applyAlignment="1">
      <alignment vertical="top" wrapText="1"/>
    </xf>
    <xf numFmtId="0" fontId="1" fillId="32" borderId="15" xfId="0" applyFont="1" applyFill="1" applyBorder="1" applyAlignment="1">
      <alignment horizontal="left" vertical="top"/>
    </xf>
    <xf numFmtId="0" fontId="0" fillId="32" borderId="15" xfId="0" applyFont="1" applyFill="1" applyBorder="1" applyAlignment="1">
      <alignment horizontal="left" vertical="top"/>
    </xf>
    <xf numFmtId="14" fontId="1" fillId="32" borderId="10" xfId="0" applyNumberFormat="1" applyFont="1" applyFill="1" applyBorder="1" applyAlignment="1">
      <alignment horizontal="left" vertical="top" wrapText="1"/>
    </xf>
    <xf numFmtId="15" fontId="0" fillId="35" borderId="15" xfId="0" applyNumberFormat="1" applyFill="1" applyBorder="1" applyAlignment="1">
      <alignment horizontal="center" vertical="top" wrapText="1"/>
    </xf>
    <xf numFmtId="15" fontId="1" fillId="32" borderId="10" xfId="0" applyNumberFormat="1" applyFont="1" applyFill="1" applyBorder="1" applyAlignment="1">
      <alignment horizontal="center" vertical="top"/>
    </xf>
    <xf numFmtId="0" fontId="1" fillId="32" borderId="0" xfId="0" applyFont="1" applyFill="1" applyBorder="1" applyAlignment="1">
      <alignment horizontal="center" vertical="top"/>
    </xf>
    <xf numFmtId="0" fontId="0" fillId="32" borderId="0" xfId="0" applyFill="1" applyBorder="1" applyAlignment="1">
      <alignment horizontal="left" vertical="top"/>
    </xf>
    <xf numFmtId="15" fontId="0" fillId="35" borderId="10" xfId="0" applyNumberFormat="1" applyFill="1" applyBorder="1" applyAlignment="1" applyProtection="1">
      <alignment horizontal="center" vertical="top" wrapText="1"/>
      <protection locked="0"/>
    </xf>
    <xf numFmtId="15" fontId="0" fillId="0" borderId="17" xfId="0" applyNumberFormat="1" applyFill="1" applyBorder="1" applyAlignment="1">
      <alignment horizontal="center" vertical="top"/>
    </xf>
    <xf numFmtId="15" fontId="0" fillId="32" borderId="17" xfId="0" applyNumberFormat="1" applyFill="1" applyBorder="1" applyAlignment="1">
      <alignment vertical="top" wrapText="1"/>
    </xf>
    <xf numFmtId="1" fontId="0" fillId="37" borderId="15" xfId="0" applyNumberFormat="1" applyFill="1" applyBorder="1" applyAlignment="1">
      <alignment vertical="top" wrapText="1"/>
    </xf>
    <xf numFmtId="165" fontId="3" fillId="24" borderId="10" xfId="0" applyNumberFormat="1" applyFont="1" applyFill="1" applyBorder="1" applyAlignment="1">
      <alignment vertical="top" wrapText="1"/>
    </xf>
    <xf numFmtId="0" fontId="0" fillId="37" borderId="15" xfId="0" applyFill="1" applyBorder="1" applyAlignment="1">
      <alignment vertical="top" wrapText="1"/>
    </xf>
    <xf numFmtId="2" fontId="0" fillId="32" borderId="10" xfId="0" applyNumberFormat="1" applyFill="1" applyBorder="1" applyAlignment="1">
      <alignment vertical="top" wrapText="1"/>
    </xf>
    <xf numFmtId="0" fontId="3" fillId="24" borderId="17" xfId="0" applyFont="1" applyFill="1" applyBorder="1" applyAlignment="1">
      <alignment horizontal="center" vertical="top" wrapText="1"/>
    </xf>
    <xf numFmtId="0" fontId="3" fillId="32" borderId="17" xfId="0" applyFont="1" applyFill="1" applyBorder="1" applyAlignment="1">
      <alignment vertical="top" wrapText="1"/>
    </xf>
    <xf numFmtId="165" fontId="0" fillId="35" borderId="17" xfId="0" applyNumberFormat="1" applyFill="1" applyBorder="1" applyAlignment="1">
      <alignment vertical="top" wrapText="1"/>
    </xf>
    <xf numFmtId="165" fontId="0" fillId="25" borderId="17" xfId="0" applyNumberFormat="1" applyFill="1" applyBorder="1" applyAlignment="1">
      <alignment vertical="top" wrapText="1"/>
    </xf>
    <xf numFmtId="1" fontId="0" fillId="35" borderId="0" xfId="0" applyNumberFormat="1" applyFill="1" applyBorder="1" applyAlignment="1">
      <alignment vertical="top" wrapText="1"/>
    </xf>
    <xf numFmtId="1" fontId="0" fillId="25" borderId="0" xfId="0" applyNumberFormat="1" applyFill="1" applyBorder="1" applyAlignment="1">
      <alignment vertical="top" wrapText="1"/>
    </xf>
    <xf numFmtId="15" fontId="0" fillId="0" borderId="0" xfId="0" applyNumberFormat="1" applyFill="1" applyBorder="1" applyAlignment="1" applyProtection="1">
      <alignment horizontal="center" vertical="top" wrapText="1"/>
      <protection locked="0"/>
    </xf>
    <xf numFmtId="15" fontId="0" fillId="25" borderId="17" xfId="0" applyNumberFormat="1" applyFill="1" applyBorder="1" applyAlignment="1" applyProtection="1">
      <alignment horizontal="center" vertical="top" wrapText="1"/>
      <protection locked="0"/>
    </xf>
    <xf numFmtId="15" fontId="0" fillId="35" borderId="0" xfId="0" applyNumberFormat="1" applyFill="1" applyBorder="1" applyAlignment="1" applyProtection="1">
      <alignment horizontal="center" vertical="top" wrapText="1"/>
      <protection locked="0"/>
    </xf>
    <xf numFmtId="15" fontId="0" fillId="0" borderId="0" xfId="0" applyNumberFormat="1" applyBorder="1" applyAlignment="1" applyProtection="1">
      <alignment horizontal="center" vertical="top" wrapText="1"/>
      <protection locked="0"/>
    </xf>
    <xf numFmtId="15" fontId="0" fillId="35" borderId="17" xfId="0" applyNumberFormat="1" applyFill="1" applyBorder="1" applyAlignment="1">
      <alignment horizontal="center" vertical="top"/>
    </xf>
    <xf numFmtId="165" fontId="0" fillId="36" borderId="10" xfId="0" applyNumberFormat="1" applyFill="1" applyBorder="1" applyAlignment="1">
      <alignment vertical="top" wrapText="1"/>
    </xf>
    <xf numFmtId="165" fontId="3" fillId="37" borderId="10" xfId="0" applyNumberFormat="1" applyFont="1" applyFill="1" applyBorder="1" applyAlignment="1">
      <alignment vertical="top" wrapText="1"/>
    </xf>
    <xf numFmtId="165" fontId="3" fillId="35" borderId="17" xfId="0" applyNumberFormat="1" applyFont="1" applyFill="1" applyBorder="1" applyAlignment="1">
      <alignment vertical="top" wrapText="1"/>
    </xf>
    <xf numFmtId="0" fontId="1" fillId="33" borderId="12" xfId="0" applyFont="1" applyFill="1" applyBorder="1" applyAlignment="1">
      <alignment vertical="top" wrapText="1"/>
    </xf>
    <xf numFmtId="0" fontId="0" fillId="0" borderId="15" xfId="0" applyBorder="1" applyAlignment="1">
      <alignment vertical="top" wrapText="1"/>
    </xf>
    <xf numFmtId="0" fontId="3" fillId="0" borderId="10" xfId="0" applyFont="1" applyFill="1" applyBorder="1" applyAlignment="1">
      <alignment vertical="top"/>
    </xf>
    <xf numFmtId="0" fontId="1" fillId="32" borderId="12" xfId="0" applyFont="1" applyFill="1" applyBorder="1" applyAlignment="1">
      <alignment vertical="top" wrapText="1"/>
    </xf>
    <xf numFmtId="0" fontId="3" fillId="0" borderId="15" xfId="0" applyFont="1" applyFill="1" applyBorder="1" applyAlignment="1">
      <alignment vertical="top" wrapText="1"/>
    </xf>
    <xf numFmtId="0" fontId="0" fillId="0" borderId="15" xfId="0" applyFill="1" applyBorder="1" applyAlignment="1">
      <alignment horizontal="center" vertical="top" wrapText="1"/>
    </xf>
    <xf numFmtId="0" fontId="3" fillId="0" borderId="15" xfId="0" applyFont="1" applyFill="1" applyBorder="1" applyAlignment="1">
      <alignment horizontal="center" vertical="top" wrapText="1"/>
    </xf>
    <xf numFmtId="0" fontId="3" fillId="32" borderId="17" xfId="0" applyFont="1" applyFill="1" applyBorder="1" applyAlignment="1">
      <alignment horizontal="center" vertical="top" wrapText="1"/>
    </xf>
    <xf numFmtId="0" fontId="3" fillId="35" borderId="17" xfId="0" applyFont="1" applyFill="1" applyBorder="1" applyAlignment="1">
      <alignment horizontal="left" vertical="top" wrapText="1"/>
    </xf>
    <xf numFmtId="0" fontId="1" fillId="0" borderId="10" xfId="0" applyFont="1" applyFill="1" applyBorder="1" applyAlignment="1">
      <alignment horizontal="left" vertical="top" wrapText="1"/>
    </xf>
    <xf numFmtId="0" fontId="3" fillId="32" borderId="0" xfId="0" applyFont="1" applyFill="1" applyBorder="1" applyAlignment="1">
      <alignment horizontal="left" vertical="top" wrapText="1"/>
    </xf>
    <xf numFmtId="0" fontId="3" fillId="0" borderId="0" xfId="0" applyFont="1" applyFill="1" applyBorder="1" applyAlignment="1">
      <alignment horizontal="left" vertical="top" wrapText="1"/>
    </xf>
    <xf numFmtId="0" fontId="3" fillId="24" borderId="17" xfId="0" applyFont="1" applyFill="1" applyBorder="1" applyAlignment="1">
      <alignment vertical="top" wrapText="1"/>
    </xf>
    <xf numFmtId="0" fontId="1" fillId="33" borderId="10" xfId="0" applyFont="1" applyFill="1" applyBorder="1" applyAlignment="1">
      <alignment horizontal="center" vertical="top"/>
    </xf>
    <xf numFmtId="1" fontId="0" fillId="32" borderId="22" xfId="0" applyNumberFormat="1" applyFill="1" applyBorder="1" applyAlignment="1">
      <alignment vertical="top" wrapText="1"/>
    </xf>
    <xf numFmtId="1" fontId="0" fillId="0" borderId="10" xfId="0" applyNumberFormat="1" applyFill="1" applyBorder="1" applyAlignment="1">
      <alignment horizontal="right" vertical="top" wrapText="1"/>
    </xf>
    <xf numFmtId="1" fontId="0" fillId="33" borderId="10" xfId="0" applyNumberFormat="1" applyFill="1" applyBorder="1" applyAlignment="1">
      <alignment horizontal="right" vertical="top" wrapText="1"/>
    </xf>
    <xf numFmtId="1" fontId="3" fillId="24" borderId="17" xfId="0" applyNumberFormat="1" applyFont="1" applyFill="1" applyBorder="1" applyAlignment="1">
      <alignment vertical="top" wrapText="1"/>
    </xf>
    <xf numFmtId="165" fontId="0" fillId="32" borderId="0" xfId="0" applyNumberFormat="1" applyFill="1" applyBorder="1" applyAlignment="1">
      <alignment vertical="top"/>
    </xf>
    <xf numFmtId="165" fontId="0" fillId="32" borderId="12" xfId="0" applyNumberFormat="1" applyFill="1" applyBorder="1" applyAlignment="1">
      <alignment vertical="top" wrapText="1"/>
    </xf>
    <xf numFmtId="1" fontId="3" fillId="0" borderId="15" xfId="0" applyNumberFormat="1" applyFont="1" applyFill="1" applyBorder="1" applyAlignment="1">
      <alignment vertical="top" wrapText="1"/>
    </xf>
    <xf numFmtId="0" fontId="0" fillId="32" borderId="0" xfId="0" applyFill="1" applyBorder="1" applyAlignment="1">
      <alignment horizontal="left" vertical="top" wrapText="1"/>
    </xf>
    <xf numFmtId="0" fontId="1" fillId="0" borderId="15" xfId="0" applyFont="1" applyFill="1" applyBorder="1" applyAlignment="1">
      <alignment vertical="top" wrapText="1"/>
    </xf>
    <xf numFmtId="0" fontId="0" fillId="33" borderId="15" xfId="0" applyFill="1" applyBorder="1" applyAlignment="1">
      <alignment horizontal="left" vertical="top" wrapText="1"/>
    </xf>
    <xf numFmtId="0" fontId="0" fillId="35" borderId="15" xfId="0" applyFill="1" applyBorder="1" applyAlignment="1">
      <alignment vertical="top" wrapText="1"/>
    </xf>
    <xf numFmtId="0" fontId="0" fillId="33" borderId="15" xfId="0" applyFill="1" applyBorder="1" applyAlignment="1">
      <alignment horizontal="left" vertical="top"/>
    </xf>
    <xf numFmtId="1" fontId="0" fillId="32" borderId="12" xfId="0" applyNumberFormat="1" applyFill="1" applyBorder="1" applyAlignment="1">
      <alignment vertical="top" wrapText="1"/>
    </xf>
    <xf numFmtId="15" fontId="0" fillId="33" borderId="15" xfId="0" applyNumberFormat="1" applyFill="1" applyBorder="1" applyAlignment="1">
      <alignment horizontal="center" vertical="top" wrapText="1"/>
    </xf>
    <xf numFmtId="15" fontId="0" fillId="0" borderId="15" xfId="0" applyNumberFormat="1" applyBorder="1" applyAlignment="1">
      <alignment horizontal="center" vertical="top" wrapText="1"/>
    </xf>
    <xf numFmtId="15" fontId="3" fillId="0" borderId="15" xfId="0" applyNumberFormat="1" applyFont="1" applyFill="1" applyBorder="1" applyAlignment="1">
      <alignment horizontal="center" vertical="top" wrapText="1"/>
    </xf>
    <xf numFmtId="15" fontId="0" fillId="25" borderId="15" xfId="0" applyNumberFormat="1" applyFill="1" applyBorder="1" applyAlignment="1">
      <alignment horizontal="center" vertical="top" wrapText="1"/>
    </xf>
    <xf numFmtId="1" fontId="0" fillId="32" borderId="14" xfId="0" applyNumberFormat="1" applyFill="1" applyBorder="1" applyAlignment="1">
      <alignment vertical="top" wrapText="1"/>
    </xf>
    <xf numFmtId="9" fontId="0" fillId="0" borderId="15" xfId="0" applyNumberFormat="1" applyBorder="1" applyAlignment="1">
      <alignment vertical="top" wrapText="1"/>
    </xf>
    <xf numFmtId="9" fontId="0" fillId="24" borderId="0" xfId="0" applyNumberFormat="1" applyFill="1" applyBorder="1" applyAlignment="1">
      <alignment vertical="top" wrapText="1"/>
    </xf>
    <xf numFmtId="0" fontId="0" fillId="0" borderId="15" xfId="0" applyBorder="1" applyAlignment="1">
      <alignment horizontal="center" vertical="top" wrapText="1"/>
    </xf>
    <xf numFmtId="15" fontId="0" fillId="24" borderId="17" xfId="0" applyNumberFormat="1" applyFill="1" applyBorder="1" applyAlignment="1">
      <alignment horizontal="center" vertical="top"/>
    </xf>
    <xf numFmtId="15" fontId="3" fillId="0" borderId="10" xfId="0" applyNumberFormat="1" applyFont="1" applyFill="1" applyBorder="1" applyAlignment="1" applyProtection="1">
      <alignment horizontal="center" vertical="top" wrapText="1"/>
      <protection locked="0"/>
    </xf>
    <xf numFmtId="15" fontId="0" fillId="25" borderId="10" xfId="0" applyNumberFormat="1" applyFill="1" applyBorder="1" applyAlignment="1" applyProtection="1">
      <alignment horizontal="center" vertical="top" wrapText="1"/>
      <protection locked="0"/>
    </xf>
    <xf numFmtId="15" fontId="0" fillId="25" borderId="0" xfId="0" applyNumberFormat="1" applyFill="1" applyBorder="1" applyAlignment="1" applyProtection="1">
      <alignment horizontal="center" vertical="top" wrapText="1"/>
      <protection locked="0"/>
    </xf>
    <xf numFmtId="15" fontId="0" fillId="0" borderId="10" xfId="0" applyNumberFormat="1" applyFill="1" applyBorder="1" applyAlignment="1">
      <alignment horizontal="center" vertical="top"/>
    </xf>
    <xf numFmtId="15" fontId="1" fillId="32" borderId="17" xfId="0" applyNumberFormat="1" applyFont="1" applyFill="1" applyBorder="1" applyAlignment="1" applyProtection="1">
      <alignment horizontal="center" vertical="top" wrapText="1"/>
      <protection locked="0"/>
    </xf>
    <xf numFmtId="15" fontId="0" fillId="0" borderId="10" xfId="0" applyNumberFormat="1" applyBorder="1" applyAlignment="1">
      <alignment horizontal="center" vertical="top"/>
    </xf>
    <xf numFmtId="15" fontId="1" fillId="0" borderId="10" xfId="0" applyNumberFormat="1" applyFont="1" applyFill="1" applyBorder="1" applyAlignment="1">
      <alignment horizontal="center" vertical="top" wrapText="1"/>
    </xf>
    <xf numFmtId="15" fontId="3" fillId="32" borderId="15" xfId="0" applyNumberFormat="1" applyFont="1" applyFill="1" applyBorder="1" applyAlignment="1" applyProtection="1">
      <alignment horizontal="center" vertical="top" wrapText="1"/>
      <protection locked="0"/>
    </xf>
    <xf numFmtId="15" fontId="0" fillId="0" borderId="15" xfId="0" applyNumberFormat="1" applyBorder="1" applyAlignment="1" applyProtection="1">
      <alignment horizontal="center" vertical="top" wrapText="1"/>
      <protection locked="0"/>
    </xf>
    <xf numFmtId="15" fontId="0" fillId="33" borderId="15" xfId="0" applyNumberFormat="1" applyFill="1" applyBorder="1" applyAlignment="1" applyProtection="1">
      <alignment horizontal="center" vertical="top" wrapText="1"/>
      <protection locked="0"/>
    </xf>
    <xf numFmtId="15" fontId="3" fillId="0" borderId="15" xfId="0" applyNumberFormat="1" applyFont="1" applyFill="1" applyBorder="1" applyAlignment="1" applyProtection="1">
      <alignment horizontal="center" vertical="top" wrapText="1"/>
      <protection locked="0"/>
    </xf>
    <xf numFmtId="15" fontId="1" fillId="0" borderId="15" xfId="0" applyNumberFormat="1" applyFont="1" applyFill="1" applyBorder="1" applyAlignment="1">
      <alignment horizontal="center" vertical="top" wrapText="1"/>
    </xf>
    <xf numFmtId="15" fontId="1" fillId="32" borderId="0" xfId="0" applyNumberFormat="1" applyFont="1" applyFill="1" applyBorder="1" applyAlignment="1">
      <alignment horizontal="center" vertical="top" wrapText="1"/>
    </xf>
    <xf numFmtId="165" fontId="0" fillId="30" borderId="17" xfId="0" applyNumberFormat="1" applyFill="1" applyBorder="1" applyAlignment="1">
      <alignment vertical="top" wrapText="1"/>
    </xf>
    <xf numFmtId="165" fontId="0" fillId="28" borderId="10" xfId="0" applyNumberFormat="1" applyFill="1" applyBorder="1" applyAlignment="1">
      <alignment vertical="top" wrapText="1"/>
    </xf>
    <xf numFmtId="1" fontId="0" fillId="37" borderId="17" xfId="0" applyNumberFormat="1" applyFill="1" applyBorder="1" applyAlignment="1">
      <alignment vertical="top"/>
    </xf>
    <xf numFmtId="1" fontId="0" fillId="36" borderId="10" xfId="0" applyNumberFormat="1" applyFill="1" applyBorder="1" applyAlignment="1">
      <alignment vertical="top" wrapText="1"/>
    </xf>
    <xf numFmtId="1" fontId="0" fillId="31" borderId="10" xfId="0" applyNumberFormat="1" applyFill="1" applyBorder="1" applyAlignment="1">
      <alignment vertical="top" wrapText="1"/>
    </xf>
    <xf numFmtId="165" fontId="0" fillId="0" borderId="15" xfId="0" applyNumberFormat="1" applyFill="1" applyBorder="1" applyAlignment="1">
      <alignment vertical="top" wrapText="1"/>
    </xf>
    <xf numFmtId="165" fontId="3" fillId="0" borderId="15" xfId="0" applyNumberFormat="1" applyFont="1" applyFill="1" applyBorder="1" applyAlignment="1">
      <alignment vertical="top" wrapText="1"/>
    </xf>
    <xf numFmtId="2" fontId="3" fillId="32" borderId="17" xfId="0" applyNumberFormat="1" applyFont="1" applyFill="1" applyBorder="1" applyAlignment="1">
      <alignment vertical="top" wrapText="1"/>
    </xf>
    <xf numFmtId="165" fontId="0" fillId="31" borderId="10" xfId="0" applyNumberFormat="1" applyFill="1" applyBorder="1" applyAlignment="1">
      <alignment vertical="top" wrapText="1"/>
    </xf>
    <xf numFmtId="165" fontId="0" fillId="0" borderId="0" xfId="0" applyNumberFormat="1" applyFill="1" applyBorder="1" applyAlignment="1">
      <alignment vertical="top" wrapText="1"/>
    </xf>
    <xf numFmtId="1" fontId="0" fillId="40" borderId="0" xfId="0" applyNumberFormat="1" applyFill="1" applyBorder="1" applyAlignment="1">
      <alignment vertical="top" wrapText="1"/>
    </xf>
    <xf numFmtId="166" fontId="0" fillId="32" borderId="17" xfId="0" applyNumberFormat="1" applyFill="1" applyBorder="1" applyAlignment="1">
      <alignment vertical="top" wrapText="1"/>
    </xf>
    <xf numFmtId="166" fontId="1" fillId="24" borderId="17" xfId="0" applyNumberFormat="1" applyFont="1" applyFill="1" applyBorder="1" applyAlignment="1">
      <alignment vertical="top" wrapText="1"/>
    </xf>
    <xf numFmtId="166" fontId="0" fillId="24" borderId="17" xfId="0" applyNumberFormat="1" applyFill="1" applyBorder="1" applyAlignment="1">
      <alignment vertical="top" wrapText="1"/>
    </xf>
    <xf numFmtId="166" fontId="0" fillId="32" borderId="17" xfId="0" applyNumberFormat="1" applyFill="1" applyBorder="1" applyAlignment="1">
      <alignment vertical="top"/>
    </xf>
    <xf numFmtId="166" fontId="1" fillId="32" borderId="17" xfId="0" applyNumberFormat="1" applyFont="1" applyFill="1" applyBorder="1" applyAlignment="1">
      <alignment vertical="top"/>
    </xf>
    <xf numFmtId="166" fontId="39" fillId="32" borderId="17" xfId="0" applyNumberFormat="1" applyFont="1" applyFill="1" applyBorder="1" applyAlignment="1">
      <alignment vertical="top" wrapText="1"/>
    </xf>
    <xf numFmtId="0" fontId="0" fillId="0" borderId="23" xfId="0" applyBorder="1" applyAlignment="1">
      <alignment horizontal="center"/>
    </xf>
    <xf numFmtId="0" fontId="0" fillId="0" borderId="24" xfId="0" applyBorder="1" applyAlignment="1">
      <alignment horizontal="center"/>
    </xf>
    <xf numFmtId="0" fontId="0" fillId="0" borderId="20" xfId="0" applyBorder="1" applyAlignment="1">
      <alignment horizontal="center"/>
    </xf>
    <xf numFmtId="0" fontId="2" fillId="0" borderId="18" xfId="0" applyFont="1" applyBorder="1"/>
    <xf numFmtId="0" fontId="2" fillId="0" borderId="19" xfId="0" applyFont="1" applyBorder="1"/>
    <xf numFmtId="1" fontId="2" fillId="0" borderId="19" xfId="0" applyNumberFormat="1" applyFont="1" applyBorder="1"/>
    <xf numFmtId="1" fontId="2" fillId="0" borderId="16" xfId="0" applyNumberFormat="1" applyFont="1" applyBorder="1"/>
    <xf numFmtId="0" fontId="3" fillId="0" borderId="22" xfId="0" applyFont="1" applyBorder="1"/>
    <xf numFmtId="0" fontId="3" fillId="0" borderId="21" xfId="0" applyFont="1" applyBorder="1"/>
    <xf numFmtId="1" fontId="3" fillId="0" borderId="21" xfId="0" applyNumberFormat="1" applyFont="1" applyBorder="1"/>
    <xf numFmtId="0" fontId="3" fillId="0" borderId="19" xfId="0" applyFont="1" applyBorder="1"/>
    <xf numFmtId="1" fontId="3" fillId="0" borderId="19" xfId="0" applyNumberFormat="1" applyFont="1" applyBorder="1"/>
    <xf numFmtId="166" fontId="2" fillId="0" borderId="20" xfId="0" applyNumberFormat="1" applyFont="1" applyBorder="1"/>
    <xf numFmtId="0" fontId="40" fillId="0" borderId="0" xfId="0" applyFont="1"/>
    <xf numFmtId="168" fontId="2" fillId="0" borderId="0" xfId="39" applyNumberFormat="1" applyFont="1" applyAlignment="1">
      <alignment horizontal="left" vertical="center" wrapText="1"/>
    </xf>
    <xf numFmtId="14" fontId="2" fillId="0" borderId="0" xfId="39" applyNumberFormat="1" applyFont="1" applyAlignment="1">
      <alignment horizontal="left" vertical="center" wrapText="1"/>
    </xf>
    <xf numFmtId="166" fontId="1" fillId="0" borderId="23" xfId="39" applyNumberFormat="1" applyFont="1" applyBorder="1" applyAlignment="1">
      <alignment horizontal="center" vertical="top" wrapText="1"/>
    </xf>
    <xf numFmtId="166" fontId="1" fillId="0" borderId="24" xfId="39" applyNumberFormat="1" applyFont="1" applyBorder="1" applyAlignment="1">
      <alignment horizontal="center" vertical="top" wrapText="1"/>
    </xf>
    <xf numFmtId="166" fontId="1" fillId="0" borderId="20" xfId="39" applyNumberFormat="1" applyFont="1" applyBorder="1" applyAlignment="1">
      <alignment horizontal="center" vertical="top" wrapText="1"/>
    </xf>
    <xf numFmtId="0" fontId="0" fillId="0" borderId="23" xfId="0" applyBorder="1" applyAlignment="1">
      <alignment horizontal="center"/>
    </xf>
    <xf numFmtId="0" fontId="0" fillId="0" borderId="24" xfId="0" applyBorder="1" applyAlignment="1">
      <alignment horizontal="center"/>
    </xf>
    <xf numFmtId="0" fontId="0" fillId="0" borderId="20" xfId="0" applyBorder="1" applyAlignment="1">
      <alignment horizontal="center"/>
    </xf>
    <xf numFmtId="0" fontId="2" fillId="0" borderId="23" xfId="0" applyFont="1" applyBorder="1" applyAlignment="1">
      <alignment horizontal="center"/>
    </xf>
    <xf numFmtId="0" fontId="2" fillId="0" borderId="24" xfId="0" applyFont="1" applyBorder="1" applyAlignment="1">
      <alignment horizontal="center"/>
    </xf>
    <xf numFmtId="0" fontId="2" fillId="0" borderId="20" xfId="0" applyFont="1" applyBorder="1" applyAlignment="1">
      <alignment horizontal="center"/>
    </xf>
    <xf numFmtId="0" fontId="2" fillId="0" borderId="23" xfId="0" applyFont="1" applyFill="1" applyBorder="1" applyAlignment="1">
      <alignment horizontal="center"/>
    </xf>
    <xf numFmtId="0" fontId="2" fillId="0" borderId="24" xfId="0" applyFont="1" applyFill="1" applyBorder="1" applyAlignment="1">
      <alignment horizontal="center"/>
    </xf>
    <xf numFmtId="0" fontId="2" fillId="0" borderId="22" xfId="0" applyFont="1" applyBorder="1" applyAlignment="1">
      <alignment horizontal="center"/>
    </xf>
    <xf numFmtId="0" fontId="2" fillId="0" borderId="21" xfId="0" applyFont="1" applyBorder="1" applyAlignment="1">
      <alignment horizontal="center"/>
    </xf>
    <xf numFmtId="0" fontId="2" fillId="0" borderId="14" xfId="0" applyFont="1" applyBorder="1" applyAlignment="1">
      <alignment horizontal="center"/>
    </xf>
    <xf numFmtId="0" fontId="0" fillId="0" borderId="22" xfId="0" applyBorder="1" applyAlignment="1">
      <alignment horizontal="center"/>
    </xf>
    <xf numFmtId="0" fontId="0" fillId="0" borderId="21" xfId="0" applyBorder="1" applyAlignment="1">
      <alignment horizontal="center"/>
    </xf>
    <xf numFmtId="0" fontId="0" fillId="0" borderId="14" xfId="0" applyBorder="1" applyAlignment="1">
      <alignment horizontal="center"/>
    </xf>
    <xf numFmtId="168" fontId="2" fillId="0" borderId="23" xfId="50" applyFont="1" applyBorder="1" applyAlignment="1">
      <alignment horizontal="center"/>
    </xf>
    <xf numFmtId="168" fontId="2" fillId="0" borderId="24" xfId="50" applyFont="1" applyBorder="1" applyAlignment="1">
      <alignment horizontal="center"/>
    </xf>
    <xf numFmtId="168" fontId="2" fillId="0" borderId="29" xfId="50" applyFont="1" applyBorder="1" applyAlignment="1">
      <alignment horizontal="center"/>
    </xf>
    <xf numFmtId="168" fontId="2" fillId="0" borderId="20" xfId="50" applyFont="1" applyBorder="1" applyAlignment="1">
      <alignment horizontal="center"/>
    </xf>
  </cellXfs>
  <cellStyles count="51">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Comma 2" xfId="47"/>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Hyperlink" xfId="35" builtinId="8"/>
    <cellStyle name="Input" xfId="36" builtinId="20" customBuiltin="1"/>
    <cellStyle name="Linked Cell" xfId="37" builtinId="24" customBuiltin="1"/>
    <cellStyle name="Neutral" xfId="38" builtinId="28" customBuiltin="1"/>
    <cellStyle name="Normal" xfId="0" builtinId="0"/>
    <cellStyle name="Normal 2" xfId="39"/>
    <cellStyle name="Normal 3" xfId="45"/>
    <cellStyle name="Normal 4" xfId="46"/>
    <cellStyle name="Normal 4 2" xfId="50"/>
    <cellStyle name="Note" xfId="40" builtinId="10" customBuiltin="1"/>
    <cellStyle name="Note 2" xfId="48"/>
    <cellStyle name="Output" xfId="41" builtinId="21" customBuiltin="1"/>
    <cellStyle name="Percent 2" xfId="49"/>
    <cellStyle name="Title" xfId="42" builtinId="15" customBuiltin="1"/>
    <cellStyle name="Total" xfId="43" builtinId="25" customBuiltin="1"/>
    <cellStyle name="Warning Text" xfId="44" builtinId="11" customBuiltin="1"/>
  </cellStyles>
  <dxfs count="5">
    <dxf>
      <font>
        <condense val="0"/>
        <extend val="0"/>
        <color rgb="FF9C0006"/>
      </font>
    </dxf>
    <dxf>
      <font>
        <condense val="0"/>
        <extend val="0"/>
        <color rgb="FF006100"/>
      </font>
      <fill>
        <patternFill>
          <bgColor rgb="FFC6EFCE"/>
        </patternFill>
      </fill>
    </dxf>
    <dxf>
      <font>
        <condense val="0"/>
        <extend val="0"/>
        <color rgb="FF006100"/>
      </font>
      <fill>
        <patternFill>
          <bgColor rgb="FFC6EFCE"/>
        </patternFill>
      </fill>
    </dxf>
    <dxf>
      <font>
        <color rgb="FFFF0000"/>
      </font>
    </dxf>
    <dxf>
      <border>
        <left style="thin">
          <color rgb="FF9C0006"/>
        </left>
        <right style="thin">
          <color rgb="FF9C0006"/>
        </right>
        <top style="thin">
          <color rgb="FF9C0006"/>
        </top>
        <bottom style="thin">
          <color rgb="FF9C0006"/>
        </bottom>
        <vertical/>
        <horizontal/>
      </border>
    </dxf>
  </dxfs>
  <tableStyles count="0" defaultTableStyle="TableStyleMedium9" defaultPivotStyle="PivotStyleLight16"/>
  <colors>
    <mruColors>
      <color rgb="FFD8D8D8"/>
      <color rgb="FFFF9900"/>
      <color rgb="FFCC9900"/>
      <color rgb="FF00FF99"/>
      <color rgb="FFFFCC99"/>
      <color rgb="FFFF99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25" b="1" i="0" u="none" strike="noStrike" baseline="0">
                <a:solidFill>
                  <a:srgbClr val="000000"/>
                </a:solidFill>
                <a:latin typeface="Arial"/>
                <a:ea typeface="Arial"/>
                <a:cs typeface="Arial"/>
              </a:defRPr>
            </a:pPr>
            <a:r>
              <a:rPr lang="en-US"/>
              <a:t>Growth of total expected accumulated ERUs in the period 2008 -2012</a:t>
            </a:r>
          </a:p>
        </c:rich>
      </c:tx>
      <c:layout>
        <c:manualLayout>
          <c:xMode val="edge"/>
          <c:yMode val="edge"/>
          <c:x val="0.2343516395893552"/>
          <c:y val="3.3376480758896238E-2"/>
        </c:manualLayout>
      </c:layout>
      <c:overlay val="0"/>
      <c:spPr>
        <a:noFill/>
        <a:ln w="25400">
          <a:noFill/>
        </a:ln>
      </c:spPr>
    </c:title>
    <c:autoTitleDeleted val="0"/>
    <c:plotArea>
      <c:layout/>
      <c:areaChart>
        <c:grouping val="stacked"/>
        <c:varyColors val="0"/>
        <c:ser>
          <c:idx val="0"/>
          <c:order val="0"/>
          <c:tx>
            <c:strRef>
              <c:f>Time!$A$170</c:f>
              <c:strCache>
                <c:ptCount val="1"/>
                <c:pt idx="0">
                  <c:v>HFC &amp; N2O reduction</c:v>
                </c:pt>
              </c:strCache>
            </c:strRef>
          </c:tx>
          <c:spPr>
            <a:solidFill>
              <a:srgbClr val="000000"/>
            </a:solidFill>
            <a:ln w="12700">
              <a:solidFill>
                <a:srgbClr val="000000"/>
              </a:solidFill>
              <a:prstDash val="solid"/>
            </a:ln>
          </c:spPr>
          <c:cat>
            <c:numRef>
              <c:f>Time!$W$27:$DL$27</c:f>
              <c:numCache>
                <c:formatCode>mmm\-yy</c:formatCode>
                <c:ptCount val="94"/>
                <c:pt idx="0">
                  <c:v>38991</c:v>
                </c:pt>
                <c:pt idx="1">
                  <c:v>39022</c:v>
                </c:pt>
                <c:pt idx="2">
                  <c:v>39052</c:v>
                </c:pt>
                <c:pt idx="3">
                  <c:v>39083</c:v>
                </c:pt>
                <c:pt idx="4">
                  <c:v>39114</c:v>
                </c:pt>
                <c:pt idx="5">
                  <c:v>39142</c:v>
                </c:pt>
                <c:pt idx="6">
                  <c:v>39173</c:v>
                </c:pt>
                <c:pt idx="7">
                  <c:v>39203</c:v>
                </c:pt>
                <c:pt idx="8">
                  <c:v>39234</c:v>
                </c:pt>
                <c:pt idx="9">
                  <c:v>39264</c:v>
                </c:pt>
                <c:pt idx="10">
                  <c:v>39295</c:v>
                </c:pt>
                <c:pt idx="11">
                  <c:v>39326</c:v>
                </c:pt>
                <c:pt idx="12">
                  <c:v>39356</c:v>
                </c:pt>
                <c:pt idx="13">
                  <c:v>39387</c:v>
                </c:pt>
                <c:pt idx="14">
                  <c:v>39417</c:v>
                </c:pt>
                <c:pt idx="15">
                  <c:v>39448</c:v>
                </c:pt>
                <c:pt idx="16">
                  <c:v>39479</c:v>
                </c:pt>
                <c:pt idx="17">
                  <c:v>39508</c:v>
                </c:pt>
                <c:pt idx="18">
                  <c:v>39539</c:v>
                </c:pt>
                <c:pt idx="19">
                  <c:v>39569</c:v>
                </c:pt>
                <c:pt idx="20">
                  <c:v>39600</c:v>
                </c:pt>
                <c:pt idx="21">
                  <c:v>39630</c:v>
                </c:pt>
                <c:pt idx="22">
                  <c:v>39661</c:v>
                </c:pt>
                <c:pt idx="23">
                  <c:v>39692</c:v>
                </c:pt>
                <c:pt idx="24">
                  <c:v>39722</c:v>
                </c:pt>
                <c:pt idx="25">
                  <c:v>39753</c:v>
                </c:pt>
                <c:pt idx="26">
                  <c:v>39783</c:v>
                </c:pt>
                <c:pt idx="27">
                  <c:v>39814</c:v>
                </c:pt>
                <c:pt idx="28">
                  <c:v>39845</c:v>
                </c:pt>
                <c:pt idx="29">
                  <c:v>39873</c:v>
                </c:pt>
                <c:pt idx="30">
                  <c:v>39904</c:v>
                </c:pt>
                <c:pt idx="31">
                  <c:v>39934</c:v>
                </c:pt>
                <c:pt idx="32">
                  <c:v>39965</c:v>
                </c:pt>
                <c:pt idx="33">
                  <c:v>39995</c:v>
                </c:pt>
                <c:pt idx="34">
                  <c:v>40026</c:v>
                </c:pt>
                <c:pt idx="35">
                  <c:v>40057</c:v>
                </c:pt>
                <c:pt idx="36">
                  <c:v>40087</c:v>
                </c:pt>
                <c:pt idx="37">
                  <c:v>40118</c:v>
                </c:pt>
                <c:pt idx="38">
                  <c:v>40148</c:v>
                </c:pt>
                <c:pt idx="39">
                  <c:v>40179</c:v>
                </c:pt>
                <c:pt idx="40">
                  <c:v>40210</c:v>
                </c:pt>
                <c:pt idx="41">
                  <c:v>40238</c:v>
                </c:pt>
                <c:pt idx="42">
                  <c:v>40269</c:v>
                </c:pt>
                <c:pt idx="43">
                  <c:v>40299</c:v>
                </c:pt>
                <c:pt idx="44">
                  <c:v>40330</c:v>
                </c:pt>
                <c:pt idx="45">
                  <c:v>40360</c:v>
                </c:pt>
                <c:pt idx="46">
                  <c:v>40391</c:v>
                </c:pt>
                <c:pt idx="47">
                  <c:v>40422</c:v>
                </c:pt>
                <c:pt idx="48">
                  <c:v>40452</c:v>
                </c:pt>
                <c:pt idx="49">
                  <c:v>40483</c:v>
                </c:pt>
                <c:pt idx="50">
                  <c:v>40513</c:v>
                </c:pt>
                <c:pt idx="51">
                  <c:v>40544</c:v>
                </c:pt>
                <c:pt idx="52">
                  <c:v>40575</c:v>
                </c:pt>
                <c:pt idx="53">
                  <c:v>40603</c:v>
                </c:pt>
                <c:pt idx="54">
                  <c:v>40634</c:v>
                </c:pt>
                <c:pt idx="55">
                  <c:v>40664</c:v>
                </c:pt>
                <c:pt idx="56">
                  <c:v>40695</c:v>
                </c:pt>
                <c:pt idx="57">
                  <c:v>40725</c:v>
                </c:pt>
                <c:pt idx="58">
                  <c:v>40756</c:v>
                </c:pt>
                <c:pt idx="59">
                  <c:v>40787</c:v>
                </c:pt>
                <c:pt idx="60">
                  <c:v>40817</c:v>
                </c:pt>
                <c:pt idx="61">
                  <c:v>40848</c:v>
                </c:pt>
                <c:pt idx="62">
                  <c:v>40878</c:v>
                </c:pt>
                <c:pt idx="63">
                  <c:v>40909</c:v>
                </c:pt>
                <c:pt idx="64">
                  <c:v>40940</c:v>
                </c:pt>
                <c:pt idx="65">
                  <c:v>40969</c:v>
                </c:pt>
                <c:pt idx="66">
                  <c:v>41000</c:v>
                </c:pt>
                <c:pt idx="67">
                  <c:v>41030</c:v>
                </c:pt>
                <c:pt idx="68">
                  <c:v>41061</c:v>
                </c:pt>
                <c:pt idx="69">
                  <c:v>41091</c:v>
                </c:pt>
                <c:pt idx="70">
                  <c:v>41122</c:v>
                </c:pt>
                <c:pt idx="71">
                  <c:v>41153</c:v>
                </c:pt>
                <c:pt idx="72">
                  <c:v>41183</c:v>
                </c:pt>
                <c:pt idx="73">
                  <c:v>41214</c:v>
                </c:pt>
                <c:pt idx="74">
                  <c:v>41244</c:v>
                </c:pt>
                <c:pt idx="75">
                  <c:v>41275</c:v>
                </c:pt>
                <c:pt idx="76">
                  <c:v>41306</c:v>
                </c:pt>
                <c:pt idx="77">
                  <c:v>41334</c:v>
                </c:pt>
                <c:pt idx="78">
                  <c:v>41365</c:v>
                </c:pt>
                <c:pt idx="79">
                  <c:v>41395</c:v>
                </c:pt>
                <c:pt idx="80">
                  <c:v>41426</c:v>
                </c:pt>
                <c:pt idx="81">
                  <c:v>41456</c:v>
                </c:pt>
                <c:pt idx="82">
                  <c:v>41487</c:v>
                </c:pt>
                <c:pt idx="83">
                  <c:v>41518</c:v>
                </c:pt>
                <c:pt idx="84">
                  <c:v>41548</c:v>
                </c:pt>
                <c:pt idx="85">
                  <c:v>41579</c:v>
                </c:pt>
                <c:pt idx="86">
                  <c:v>41609</c:v>
                </c:pt>
                <c:pt idx="87">
                  <c:v>41640</c:v>
                </c:pt>
                <c:pt idx="88">
                  <c:v>41671</c:v>
                </c:pt>
                <c:pt idx="89">
                  <c:v>41699</c:v>
                </c:pt>
                <c:pt idx="90">
                  <c:v>41730</c:v>
                </c:pt>
                <c:pt idx="91">
                  <c:v>41760</c:v>
                </c:pt>
                <c:pt idx="92">
                  <c:v>41791</c:v>
                </c:pt>
                <c:pt idx="93">
                  <c:v>41821</c:v>
                </c:pt>
              </c:numCache>
            </c:numRef>
          </c:cat>
          <c:val>
            <c:numRef>
              <c:f>Time!$W$170:$DL$170</c:f>
              <c:numCache>
                <c:formatCode>0.0</c:formatCode>
                <c:ptCount val="94"/>
                <c:pt idx="0">
                  <c:v>0</c:v>
                </c:pt>
                <c:pt idx="1">
                  <c:v>0</c:v>
                </c:pt>
                <c:pt idx="2">
                  <c:v>0</c:v>
                </c:pt>
                <c:pt idx="3">
                  <c:v>0</c:v>
                </c:pt>
                <c:pt idx="4">
                  <c:v>0</c:v>
                </c:pt>
                <c:pt idx="5">
                  <c:v>0</c:v>
                </c:pt>
                <c:pt idx="6">
                  <c:v>0</c:v>
                </c:pt>
                <c:pt idx="7">
                  <c:v>0</c:v>
                </c:pt>
                <c:pt idx="8">
                  <c:v>0</c:v>
                </c:pt>
                <c:pt idx="9">
                  <c:v>5.2133574999999999</c:v>
                </c:pt>
                <c:pt idx="10">
                  <c:v>5.2133574999999999</c:v>
                </c:pt>
                <c:pt idx="11">
                  <c:v>5.2133574999999999</c:v>
                </c:pt>
                <c:pt idx="12">
                  <c:v>12.687808756500001</c:v>
                </c:pt>
                <c:pt idx="13">
                  <c:v>15.978335765500001</c:v>
                </c:pt>
                <c:pt idx="14">
                  <c:v>15.978335765500001</c:v>
                </c:pt>
                <c:pt idx="15">
                  <c:v>36.977804765499997</c:v>
                </c:pt>
                <c:pt idx="16">
                  <c:v>58.435779765499994</c:v>
                </c:pt>
                <c:pt idx="17">
                  <c:v>72.25699176549999</c:v>
                </c:pt>
                <c:pt idx="18">
                  <c:v>76.694843765499996</c:v>
                </c:pt>
                <c:pt idx="19">
                  <c:v>84.779082375499996</c:v>
                </c:pt>
                <c:pt idx="20">
                  <c:v>91.128682375499992</c:v>
                </c:pt>
                <c:pt idx="21">
                  <c:v>95.128682375499992</c:v>
                </c:pt>
                <c:pt idx="22">
                  <c:v>102.49392137549999</c:v>
                </c:pt>
                <c:pt idx="23">
                  <c:v>115.7058599655</c:v>
                </c:pt>
                <c:pt idx="24">
                  <c:v>115.7058599655</c:v>
                </c:pt>
                <c:pt idx="25">
                  <c:v>116.4954159655</c:v>
                </c:pt>
                <c:pt idx="26">
                  <c:v>117.9383359655</c:v>
                </c:pt>
                <c:pt idx="27">
                  <c:v>117.9383359655</c:v>
                </c:pt>
                <c:pt idx="28">
                  <c:v>118.4461419655</c:v>
                </c:pt>
                <c:pt idx="29">
                  <c:v>118.4461419655</c:v>
                </c:pt>
                <c:pt idx="30">
                  <c:v>118.4461419655</c:v>
                </c:pt>
                <c:pt idx="31">
                  <c:v>118.4461419655</c:v>
                </c:pt>
                <c:pt idx="32">
                  <c:v>121.4211419655</c:v>
                </c:pt>
                <c:pt idx="33">
                  <c:v>126.9160719655</c:v>
                </c:pt>
                <c:pt idx="34">
                  <c:v>133.55188796549999</c:v>
                </c:pt>
                <c:pt idx="35">
                  <c:v>133.55188796549999</c:v>
                </c:pt>
                <c:pt idx="36">
                  <c:v>133.55188796549999</c:v>
                </c:pt>
                <c:pt idx="37">
                  <c:v>133.55188796549999</c:v>
                </c:pt>
                <c:pt idx="38">
                  <c:v>134.01742896549999</c:v>
                </c:pt>
                <c:pt idx="39">
                  <c:v>134.01742896549999</c:v>
                </c:pt>
                <c:pt idx="40">
                  <c:v>136.37977100749998</c:v>
                </c:pt>
                <c:pt idx="41">
                  <c:v>136.37977100749998</c:v>
                </c:pt>
                <c:pt idx="42">
                  <c:v>136.37977100749998</c:v>
                </c:pt>
                <c:pt idx="43">
                  <c:v>140.59969700749997</c:v>
                </c:pt>
                <c:pt idx="44">
                  <c:v>141.19762000749998</c:v>
                </c:pt>
                <c:pt idx="45">
                  <c:v>142.31711400749998</c:v>
                </c:pt>
                <c:pt idx="46">
                  <c:v>142.76976700749998</c:v>
                </c:pt>
                <c:pt idx="47">
                  <c:v>144.35923100749997</c:v>
                </c:pt>
                <c:pt idx="48">
                  <c:v>144.35923100749997</c:v>
                </c:pt>
                <c:pt idx="49">
                  <c:v>144.45641200749998</c:v>
                </c:pt>
                <c:pt idx="50">
                  <c:v>144.45641200749998</c:v>
                </c:pt>
                <c:pt idx="51">
                  <c:v>144.90334200749999</c:v>
                </c:pt>
                <c:pt idx="52">
                  <c:v>146.49330720749998</c:v>
                </c:pt>
                <c:pt idx="53">
                  <c:v>147.65842320749999</c:v>
                </c:pt>
                <c:pt idx="54">
                  <c:v>147.7462832075</c:v>
                </c:pt>
                <c:pt idx="55">
                  <c:v>147.7462832075</c:v>
                </c:pt>
                <c:pt idx="56">
                  <c:v>147.7462832075</c:v>
                </c:pt>
                <c:pt idx="57">
                  <c:v>147.7462832075</c:v>
                </c:pt>
                <c:pt idx="58">
                  <c:v>147.7462832075</c:v>
                </c:pt>
                <c:pt idx="59">
                  <c:v>147.85899920750001</c:v>
                </c:pt>
                <c:pt idx="60">
                  <c:v>147.85899920750001</c:v>
                </c:pt>
                <c:pt idx="61">
                  <c:v>148.08652370749999</c:v>
                </c:pt>
                <c:pt idx="62">
                  <c:v>148.08652370749999</c:v>
                </c:pt>
                <c:pt idx="63">
                  <c:v>148.08652370749999</c:v>
                </c:pt>
                <c:pt idx="64">
                  <c:v>148.08652370749999</c:v>
                </c:pt>
                <c:pt idx="65">
                  <c:v>161.79365570749999</c:v>
                </c:pt>
                <c:pt idx="66">
                  <c:v>162.2262997075</c:v>
                </c:pt>
                <c:pt idx="67">
                  <c:v>162.2262997075</c:v>
                </c:pt>
                <c:pt idx="68">
                  <c:v>162.2262997075</c:v>
                </c:pt>
                <c:pt idx="69">
                  <c:v>177.37281870750002</c:v>
                </c:pt>
                <c:pt idx="70">
                  <c:v>177.97947270750001</c:v>
                </c:pt>
                <c:pt idx="71">
                  <c:v>177.97947270750001</c:v>
                </c:pt>
                <c:pt idx="72">
                  <c:v>177.97947270750001</c:v>
                </c:pt>
                <c:pt idx="73">
                  <c:v>177.97947270750001</c:v>
                </c:pt>
                <c:pt idx="74">
                  <c:v>177.97947270750001</c:v>
                </c:pt>
                <c:pt idx="75">
                  <c:v>177.97947270750001</c:v>
                </c:pt>
                <c:pt idx="76">
                  <c:v>178.2385707075</c:v>
                </c:pt>
                <c:pt idx="77">
                  <c:v>178.2385707075</c:v>
                </c:pt>
                <c:pt idx="78">
                  <c:v>178.2385707075</c:v>
                </c:pt>
                <c:pt idx="79">
                  <c:v>178.2385707075</c:v>
                </c:pt>
                <c:pt idx="80">
                  <c:v>178.2385707075</c:v>
                </c:pt>
                <c:pt idx="81">
                  <c:v>178.2385707075</c:v>
                </c:pt>
                <c:pt idx="82">
                  <c:v>178.2385707075</c:v>
                </c:pt>
                <c:pt idx="83">
                  <c:v>178.2385707075</c:v>
                </c:pt>
                <c:pt idx="84">
                  <c:v>178.2385707075</c:v>
                </c:pt>
                <c:pt idx="85">
                  <c:v>178.2385707075</c:v>
                </c:pt>
                <c:pt idx="86">
                  <c:v>178.2385707075</c:v>
                </c:pt>
                <c:pt idx="87">
                  <c:v>178.2385707075</c:v>
                </c:pt>
                <c:pt idx="88">
                  <c:v>178.2385707075</c:v>
                </c:pt>
                <c:pt idx="89">
                  <c:v>178.2385707075</c:v>
                </c:pt>
                <c:pt idx="90">
                  <c:v>178.2385707075</c:v>
                </c:pt>
                <c:pt idx="91">
                  <c:v>178.2385707075</c:v>
                </c:pt>
                <c:pt idx="92">
                  <c:v>178.2385707075</c:v>
                </c:pt>
                <c:pt idx="93">
                  <c:v>178.2385707075</c:v>
                </c:pt>
              </c:numCache>
            </c:numRef>
          </c:val>
        </c:ser>
        <c:ser>
          <c:idx val="1"/>
          <c:order val="1"/>
          <c:tx>
            <c:strRef>
              <c:f>Time!$A$167</c:f>
              <c:strCache>
                <c:ptCount val="1"/>
                <c:pt idx="0">
                  <c:v>CH4 reduction &amp; Cement &amp; Coal mine/bed</c:v>
                </c:pt>
              </c:strCache>
            </c:strRef>
          </c:tx>
          <c:spPr>
            <a:solidFill>
              <a:srgbClr val="FF0000"/>
            </a:solidFill>
            <a:ln w="12700">
              <a:solidFill>
                <a:srgbClr val="000000"/>
              </a:solidFill>
              <a:prstDash val="solid"/>
            </a:ln>
          </c:spPr>
          <c:cat>
            <c:numRef>
              <c:f>Time!$W$27:$DL$27</c:f>
              <c:numCache>
                <c:formatCode>mmm\-yy</c:formatCode>
                <c:ptCount val="94"/>
                <c:pt idx="0">
                  <c:v>38991</c:v>
                </c:pt>
                <c:pt idx="1">
                  <c:v>39022</c:v>
                </c:pt>
                <c:pt idx="2">
                  <c:v>39052</c:v>
                </c:pt>
                <c:pt idx="3">
                  <c:v>39083</c:v>
                </c:pt>
                <c:pt idx="4">
                  <c:v>39114</c:v>
                </c:pt>
                <c:pt idx="5">
                  <c:v>39142</c:v>
                </c:pt>
                <c:pt idx="6">
                  <c:v>39173</c:v>
                </c:pt>
                <c:pt idx="7">
                  <c:v>39203</c:v>
                </c:pt>
                <c:pt idx="8">
                  <c:v>39234</c:v>
                </c:pt>
                <c:pt idx="9">
                  <c:v>39264</c:v>
                </c:pt>
                <c:pt idx="10">
                  <c:v>39295</c:v>
                </c:pt>
                <c:pt idx="11">
                  <c:v>39326</c:v>
                </c:pt>
                <c:pt idx="12">
                  <c:v>39356</c:v>
                </c:pt>
                <c:pt idx="13">
                  <c:v>39387</c:v>
                </c:pt>
                <c:pt idx="14">
                  <c:v>39417</c:v>
                </c:pt>
                <c:pt idx="15">
                  <c:v>39448</c:v>
                </c:pt>
                <c:pt idx="16">
                  <c:v>39479</c:v>
                </c:pt>
                <c:pt idx="17">
                  <c:v>39508</c:v>
                </c:pt>
                <c:pt idx="18">
                  <c:v>39539</c:v>
                </c:pt>
                <c:pt idx="19">
                  <c:v>39569</c:v>
                </c:pt>
                <c:pt idx="20">
                  <c:v>39600</c:v>
                </c:pt>
                <c:pt idx="21">
                  <c:v>39630</c:v>
                </c:pt>
                <c:pt idx="22">
                  <c:v>39661</c:v>
                </c:pt>
                <c:pt idx="23">
                  <c:v>39692</c:v>
                </c:pt>
                <c:pt idx="24">
                  <c:v>39722</c:v>
                </c:pt>
                <c:pt idx="25">
                  <c:v>39753</c:v>
                </c:pt>
                <c:pt idx="26">
                  <c:v>39783</c:v>
                </c:pt>
                <c:pt idx="27">
                  <c:v>39814</c:v>
                </c:pt>
                <c:pt idx="28">
                  <c:v>39845</c:v>
                </c:pt>
                <c:pt idx="29">
                  <c:v>39873</c:v>
                </c:pt>
                <c:pt idx="30">
                  <c:v>39904</c:v>
                </c:pt>
                <c:pt idx="31">
                  <c:v>39934</c:v>
                </c:pt>
                <c:pt idx="32">
                  <c:v>39965</c:v>
                </c:pt>
                <c:pt idx="33">
                  <c:v>39995</c:v>
                </c:pt>
                <c:pt idx="34">
                  <c:v>40026</c:v>
                </c:pt>
                <c:pt idx="35">
                  <c:v>40057</c:v>
                </c:pt>
                <c:pt idx="36">
                  <c:v>40087</c:v>
                </c:pt>
                <c:pt idx="37">
                  <c:v>40118</c:v>
                </c:pt>
                <c:pt idx="38">
                  <c:v>40148</c:v>
                </c:pt>
                <c:pt idx="39">
                  <c:v>40179</c:v>
                </c:pt>
                <c:pt idx="40">
                  <c:v>40210</c:v>
                </c:pt>
                <c:pt idx="41">
                  <c:v>40238</c:v>
                </c:pt>
                <c:pt idx="42">
                  <c:v>40269</c:v>
                </c:pt>
                <c:pt idx="43">
                  <c:v>40299</c:v>
                </c:pt>
                <c:pt idx="44">
                  <c:v>40330</c:v>
                </c:pt>
                <c:pt idx="45">
                  <c:v>40360</c:v>
                </c:pt>
                <c:pt idx="46">
                  <c:v>40391</c:v>
                </c:pt>
                <c:pt idx="47">
                  <c:v>40422</c:v>
                </c:pt>
                <c:pt idx="48">
                  <c:v>40452</c:v>
                </c:pt>
                <c:pt idx="49">
                  <c:v>40483</c:v>
                </c:pt>
                <c:pt idx="50">
                  <c:v>40513</c:v>
                </c:pt>
                <c:pt idx="51">
                  <c:v>40544</c:v>
                </c:pt>
                <c:pt idx="52">
                  <c:v>40575</c:v>
                </c:pt>
                <c:pt idx="53">
                  <c:v>40603</c:v>
                </c:pt>
                <c:pt idx="54">
                  <c:v>40634</c:v>
                </c:pt>
                <c:pt idx="55">
                  <c:v>40664</c:v>
                </c:pt>
                <c:pt idx="56">
                  <c:v>40695</c:v>
                </c:pt>
                <c:pt idx="57">
                  <c:v>40725</c:v>
                </c:pt>
                <c:pt idx="58">
                  <c:v>40756</c:v>
                </c:pt>
                <c:pt idx="59">
                  <c:v>40787</c:v>
                </c:pt>
                <c:pt idx="60">
                  <c:v>40817</c:v>
                </c:pt>
                <c:pt idx="61">
                  <c:v>40848</c:v>
                </c:pt>
                <c:pt idx="62">
                  <c:v>40878</c:v>
                </c:pt>
                <c:pt idx="63">
                  <c:v>40909</c:v>
                </c:pt>
                <c:pt idx="64">
                  <c:v>40940</c:v>
                </c:pt>
                <c:pt idx="65">
                  <c:v>40969</c:v>
                </c:pt>
                <c:pt idx="66">
                  <c:v>41000</c:v>
                </c:pt>
                <c:pt idx="67">
                  <c:v>41030</c:v>
                </c:pt>
                <c:pt idx="68">
                  <c:v>41061</c:v>
                </c:pt>
                <c:pt idx="69">
                  <c:v>41091</c:v>
                </c:pt>
                <c:pt idx="70">
                  <c:v>41122</c:v>
                </c:pt>
                <c:pt idx="71">
                  <c:v>41153</c:v>
                </c:pt>
                <c:pt idx="72">
                  <c:v>41183</c:v>
                </c:pt>
                <c:pt idx="73">
                  <c:v>41214</c:v>
                </c:pt>
                <c:pt idx="74">
                  <c:v>41244</c:v>
                </c:pt>
                <c:pt idx="75">
                  <c:v>41275</c:v>
                </c:pt>
                <c:pt idx="76">
                  <c:v>41306</c:v>
                </c:pt>
                <c:pt idx="77">
                  <c:v>41334</c:v>
                </c:pt>
                <c:pt idx="78">
                  <c:v>41365</c:v>
                </c:pt>
                <c:pt idx="79">
                  <c:v>41395</c:v>
                </c:pt>
                <c:pt idx="80">
                  <c:v>41426</c:v>
                </c:pt>
                <c:pt idx="81">
                  <c:v>41456</c:v>
                </c:pt>
                <c:pt idx="82">
                  <c:v>41487</c:v>
                </c:pt>
                <c:pt idx="83">
                  <c:v>41518</c:v>
                </c:pt>
                <c:pt idx="84">
                  <c:v>41548</c:v>
                </c:pt>
                <c:pt idx="85">
                  <c:v>41579</c:v>
                </c:pt>
                <c:pt idx="86">
                  <c:v>41609</c:v>
                </c:pt>
                <c:pt idx="87">
                  <c:v>41640</c:v>
                </c:pt>
                <c:pt idx="88">
                  <c:v>41671</c:v>
                </c:pt>
                <c:pt idx="89">
                  <c:v>41699</c:v>
                </c:pt>
                <c:pt idx="90">
                  <c:v>41730</c:v>
                </c:pt>
                <c:pt idx="91">
                  <c:v>41760</c:v>
                </c:pt>
                <c:pt idx="92">
                  <c:v>41791</c:v>
                </c:pt>
                <c:pt idx="93">
                  <c:v>41821</c:v>
                </c:pt>
              </c:numCache>
            </c:numRef>
          </c:cat>
          <c:val>
            <c:numRef>
              <c:f>Time!$W$167:$DL$167</c:f>
              <c:numCache>
                <c:formatCode>0.0</c:formatCode>
                <c:ptCount val="94"/>
                <c:pt idx="0">
                  <c:v>0</c:v>
                </c:pt>
                <c:pt idx="1">
                  <c:v>5.0093350000000001</c:v>
                </c:pt>
                <c:pt idx="2">
                  <c:v>41.855334999999997</c:v>
                </c:pt>
                <c:pt idx="3">
                  <c:v>42.002863999999995</c:v>
                </c:pt>
                <c:pt idx="4">
                  <c:v>52.742881999999994</c:v>
                </c:pt>
                <c:pt idx="5">
                  <c:v>57.461463999999992</c:v>
                </c:pt>
                <c:pt idx="6">
                  <c:v>58.027750999999995</c:v>
                </c:pt>
                <c:pt idx="7">
                  <c:v>59.670056999999993</c:v>
                </c:pt>
                <c:pt idx="8">
                  <c:v>71.275566999999995</c:v>
                </c:pt>
                <c:pt idx="9">
                  <c:v>72.168194</c:v>
                </c:pt>
                <c:pt idx="10">
                  <c:v>72.168194</c:v>
                </c:pt>
                <c:pt idx="11">
                  <c:v>76.982976594999997</c:v>
                </c:pt>
                <c:pt idx="12">
                  <c:v>82.477996594999993</c:v>
                </c:pt>
                <c:pt idx="13">
                  <c:v>84.985881594999995</c:v>
                </c:pt>
                <c:pt idx="14">
                  <c:v>93.213566594999989</c:v>
                </c:pt>
                <c:pt idx="15">
                  <c:v>100.01735839499999</c:v>
                </c:pt>
                <c:pt idx="16">
                  <c:v>100.92659339499998</c:v>
                </c:pt>
                <c:pt idx="17">
                  <c:v>120.13108569499998</c:v>
                </c:pt>
                <c:pt idx="18">
                  <c:v>121.20199369499998</c:v>
                </c:pt>
                <c:pt idx="19">
                  <c:v>121.20199369499998</c:v>
                </c:pt>
                <c:pt idx="20">
                  <c:v>123.01018869499998</c:v>
                </c:pt>
                <c:pt idx="21">
                  <c:v>124.49875869499998</c:v>
                </c:pt>
                <c:pt idx="22">
                  <c:v>128.53157469499999</c:v>
                </c:pt>
                <c:pt idx="23">
                  <c:v>128.53157469499999</c:v>
                </c:pt>
                <c:pt idx="24">
                  <c:v>129.377820695</c:v>
                </c:pt>
                <c:pt idx="25">
                  <c:v>129.377820695</c:v>
                </c:pt>
                <c:pt idx="26">
                  <c:v>129.377820695</c:v>
                </c:pt>
                <c:pt idx="27">
                  <c:v>129.377820695</c:v>
                </c:pt>
                <c:pt idx="28">
                  <c:v>130.28909569499999</c:v>
                </c:pt>
                <c:pt idx="29">
                  <c:v>130.72362869499997</c:v>
                </c:pt>
                <c:pt idx="30">
                  <c:v>130.72362869499997</c:v>
                </c:pt>
                <c:pt idx="31">
                  <c:v>133.83349569499998</c:v>
                </c:pt>
                <c:pt idx="32">
                  <c:v>133.83349569499998</c:v>
                </c:pt>
                <c:pt idx="33">
                  <c:v>137.12418222499997</c:v>
                </c:pt>
                <c:pt idx="34">
                  <c:v>138.24926222499997</c:v>
                </c:pt>
                <c:pt idx="35">
                  <c:v>140.55143622499997</c:v>
                </c:pt>
                <c:pt idx="36">
                  <c:v>140.55143622499997</c:v>
                </c:pt>
                <c:pt idx="37">
                  <c:v>140.55143622499997</c:v>
                </c:pt>
                <c:pt idx="38">
                  <c:v>141.43081422499998</c:v>
                </c:pt>
                <c:pt idx="39">
                  <c:v>144.62868822499999</c:v>
                </c:pt>
                <c:pt idx="40">
                  <c:v>144.62868822499999</c:v>
                </c:pt>
                <c:pt idx="41">
                  <c:v>145.33165822499998</c:v>
                </c:pt>
                <c:pt idx="42">
                  <c:v>145.59891822499998</c:v>
                </c:pt>
                <c:pt idx="43">
                  <c:v>146.70708122499997</c:v>
                </c:pt>
                <c:pt idx="44">
                  <c:v>150.02903122499995</c:v>
                </c:pt>
                <c:pt idx="45">
                  <c:v>150.02903122499995</c:v>
                </c:pt>
                <c:pt idx="46">
                  <c:v>155.75237722499995</c:v>
                </c:pt>
                <c:pt idx="47">
                  <c:v>155.75237722499995</c:v>
                </c:pt>
                <c:pt idx="48">
                  <c:v>155.75237722499995</c:v>
                </c:pt>
                <c:pt idx="49">
                  <c:v>155.75237722499995</c:v>
                </c:pt>
                <c:pt idx="50">
                  <c:v>156.06828122499994</c:v>
                </c:pt>
                <c:pt idx="51">
                  <c:v>156.06828122499994</c:v>
                </c:pt>
                <c:pt idx="52">
                  <c:v>156.65881222499993</c:v>
                </c:pt>
                <c:pt idx="53">
                  <c:v>163.67691522499993</c:v>
                </c:pt>
                <c:pt idx="54">
                  <c:v>164.11124622499992</c:v>
                </c:pt>
                <c:pt idx="55">
                  <c:v>164.32639272499992</c:v>
                </c:pt>
                <c:pt idx="56">
                  <c:v>164.82641191399992</c:v>
                </c:pt>
                <c:pt idx="57">
                  <c:v>165.77201191399993</c:v>
                </c:pt>
                <c:pt idx="58">
                  <c:v>169.67282191399994</c:v>
                </c:pt>
                <c:pt idx="59">
                  <c:v>172.17897291399993</c:v>
                </c:pt>
                <c:pt idx="60">
                  <c:v>206.24593453399993</c:v>
                </c:pt>
                <c:pt idx="61">
                  <c:v>214.50490653399993</c:v>
                </c:pt>
                <c:pt idx="62">
                  <c:v>240.54365553399992</c:v>
                </c:pt>
                <c:pt idx="63">
                  <c:v>240.54365553399992</c:v>
                </c:pt>
                <c:pt idx="64">
                  <c:v>240.94038368599993</c:v>
                </c:pt>
                <c:pt idx="65">
                  <c:v>253.94623468599994</c:v>
                </c:pt>
                <c:pt idx="66">
                  <c:v>259.82145868599991</c:v>
                </c:pt>
                <c:pt idx="67">
                  <c:v>270.40608568599993</c:v>
                </c:pt>
                <c:pt idx="68">
                  <c:v>270.40608568599993</c:v>
                </c:pt>
                <c:pt idx="69">
                  <c:v>339.70282768599992</c:v>
                </c:pt>
                <c:pt idx="70">
                  <c:v>371.29694168599991</c:v>
                </c:pt>
                <c:pt idx="71">
                  <c:v>384.75082168599994</c:v>
                </c:pt>
                <c:pt idx="72">
                  <c:v>477.82705708599997</c:v>
                </c:pt>
                <c:pt idx="73">
                  <c:v>543.154538086</c:v>
                </c:pt>
                <c:pt idx="74">
                  <c:v>730.24198108600012</c:v>
                </c:pt>
                <c:pt idx="75">
                  <c:v>733.7864330860001</c:v>
                </c:pt>
                <c:pt idx="76">
                  <c:v>733.7864330860001</c:v>
                </c:pt>
                <c:pt idx="77">
                  <c:v>733.7864330860001</c:v>
                </c:pt>
                <c:pt idx="78">
                  <c:v>733.7864330860001</c:v>
                </c:pt>
                <c:pt idx="79">
                  <c:v>733.7864330860001</c:v>
                </c:pt>
                <c:pt idx="80">
                  <c:v>733.7864330860001</c:v>
                </c:pt>
                <c:pt idx="81">
                  <c:v>733.7864330860001</c:v>
                </c:pt>
                <c:pt idx="82">
                  <c:v>733.7864330860001</c:v>
                </c:pt>
                <c:pt idx="83">
                  <c:v>733.7864330860001</c:v>
                </c:pt>
                <c:pt idx="84">
                  <c:v>733.7864330860001</c:v>
                </c:pt>
                <c:pt idx="85">
                  <c:v>733.7864330860001</c:v>
                </c:pt>
                <c:pt idx="86">
                  <c:v>733.7864330860001</c:v>
                </c:pt>
                <c:pt idx="87">
                  <c:v>733.7864330860001</c:v>
                </c:pt>
                <c:pt idx="88">
                  <c:v>733.7864330860001</c:v>
                </c:pt>
                <c:pt idx="89">
                  <c:v>733.7864330860001</c:v>
                </c:pt>
                <c:pt idx="90">
                  <c:v>733.7864330860001</c:v>
                </c:pt>
                <c:pt idx="91">
                  <c:v>733.7864330860001</c:v>
                </c:pt>
                <c:pt idx="92">
                  <c:v>733.7864330860001</c:v>
                </c:pt>
                <c:pt idx="93">
                  <c:v>733.7864330860001</c:v>
                </c:pt>
              </c:numCache>
            </c:numRef>
          </c:val>
        </c:ser>
        <c:ser>
          <c:idx val="2"/>
          <c:order val="2"/>
          <c:tx>
            <c:strRef>
              <c:f>Time!$A$166</c:f>
              <c:strCache>
                <c:ptCount val="1"/>
                <c:pt idx="0">
                  <c:v>Renewables</c:v>
                </c:pt>
              </c:strCache>
            </c:strRef>
          </c:tx>
          <c:spPr>
            <a:solidFill>
              <a:srgbClr val="0000FF"/>
            </a:solidFill>
            <a:ln w="12700">
              <a:solidFill>
                <a:srgbClr val="000000"/>
              </a:solidFill>
              <a:prstDash val="solid"/>
            </a:ln>
          </c:spPr>
          <c:cat>
            <c:numRef>
              <c:f>Time!$W$27:$DL$27</c:f>
              <c:numCache>
                <c:formatCode>mmm\-yy</c:formatCode>
                <c:ptCount val="94"/>
                <c:pt idx="0">
                  <c:v>38991</c:v>
                </c:pt>
                <c:pt idx="1">
                  <c:v>39022</c:v>
                </c:pt>
                <c:pt idx="2">
                  <c:v>39052</c:v>
                </c:pt>
                <c:pt idx="3">
                  <c:v>39083</c:v>
                </c:pt>
                <c:pt idx="4">
                  <c:v>39114</c:v>
                </c:pt>
                <c:pt idx="5">
                  <c:v>39142</c:v>
                </c:pt>
                <c:pt idx="6">
                  <c:v>39173</c:v>
                </c:pt>
                <c:pt idx="7">
                  <c:v>39203</c:v>
                </c:pt>
                <c:pt idx="8">
                  <c:v>39234</c:v>
                </c:pt>
                <c:pt idx="9">
                  <c:v>39264</c:v>
                </c:pt>
                <c:pt idx="10">
                  <c:v>39295</c:v>
                </c:pt>
                <c:pt idx="11">
                  <c:v>39326</c:v>
                </c:pt>
                <c:pt idx="12">
                  <c:v>39356</c:v>
                </c:pt>
                <c:pt idx="13">
                  <c:v>39387</c:v>
                </c:pt>
                <c:pt idx="14">
                  <c:v>39417</c:v>
                </c:pt>
                <c:pt idx="15">
                  <c:v>39448</c:v>
                </c:pt>
                <c:pt idx="16">
                  <c:v>39479</c:v>
                </c:pt>
                <c:pt idx="17">
                  <c:v>39508</c:v>
                </c:pt>
                <c:pt idx="18">
                  <c:v>39539</c:v>
                </c:pt>
                <c:pt idx="19">
                  <c:v>39569</c:v>
                </c:pt>
                <c:pt idx="20">
                  <c:v>39600</c:v>
                </c:pt>
                <c:pt idx="21">
                  <c:v>39630</c:v>
                </c:pt>
                <c:pt idx="22">
                  <c:v>39661</c:v>
                </c:pt>
                <c:pt idx="23">
                  <c:v>39692</c:v>
                </c:pt>
                <c:pt idx="24">
                  <c:v>39722</c:v>
                </c:pt>
                <c:pt idx="25">
                  <c:v>39753</c:v>
                </c:pt>
                <c:pt idx="26">
                  <c:v>39783</c:v>
                </c:pt>
                <c:pt idx="27">
                  <c:v>39814</c:v>
                </c:pt>
                <c:pt idx="28">
                  <c:v>39845</c:v>
                </c:pt>
                <c:pt idx="29">
                  <c:v>39873</c:v>
                </c:pt>
                <c:pt idx="30">
                  <c:v>39904</c:v>
                </c:pt>
                <c:pt idx="31">
                  <c:v>39934</c:v>
                </c:pt>
                <c:pt idx="32">
                  <c:v>39965</c:v>
                </c:pt>
                <c:pt idx="33">
                  <c:v>39995</c:v>
                </c:pt>
                <c:pt idx="34">
                  <c:v>40026</c:v>
                </c:pt>
                <c:pt idx="35">
                  <c:v>40057</c:v>
                </c:pt>
                <c:pt idx="36">
                  <c:v>40087</c:v>
                </c:pt>
                <c:pt idx="37">
                  <c:v>40118</c:v>
                </c:pt>
                <c:pt idx="38">
                  <c:v>40148</c:v>
                </c:pt>
                <c:pt idx="39">
                  <c:v>40179</c:v>
                </c:pt>
                <c:pt idx="40">
                  <c:v>40210</c:v>
                </c:pt>
                <c:pt idx="41">
                  <c:v>40238</c:v>
                </c:pt>
                <c:pt idx="42">
                  <c:v>40269</c:v>
                </c:pt>
                <c:pt idx="43">
                  <c:v>40299</c:v>
                </c:pt>
                <c:pt idx="44">
                  <c:v>40330</c:v>
                </c:pt>
                <c:pt idx="45">
                  <c:v>40360</c:v>
                </c:pt>
                <c:pt idx="46">
                  <c:v>40391</c:v>
                </c:pt>
                <c:pt idx="47">
                  <c:v>40422</c:v>
                </c:pt>
                <c:pt idx="48">
                  <c:v>40452</c:v>
                </c:pt>
                <c:pt idx="49">
                  <c:v>40483</c:v>
                </c:pt>
                <c:pt idx="50">
                  <c:v>40513</c:v>
                </c:pt>
                <c:pt idx="51">
                  <c:v>40544</c:v>
                </c:pt>
                <c:pt idx="52">
                  <c:v>40575</c:v>
                </c:pt>
                <c:pt idx="53">
                  <c:v>40603</c:v>
                </c:pt>
                <c:pt idx="54">
                  <c:v>40634</c:v>
                </c:pt>
                <c:pt idx="55">
                  <c:v>40664</c:v>
                </c:pt>
                <c:pt idx="56">
                  <c:v>40695</c:v>
                </c:pt>
                <c:pt idx="57">
                  <c:v>40725</c:v>
                </c:pt>
                <c:pt idx="58">
                  <c:v>40756</c:v>
                </c:pt>
                <c:pt idx="59">
                  <c:v>40787</c:v>
                </c:pt>
                <c:pt idx="60">
                  <c:v>40817</c:v>
                </c:pt>
                <c:pt idx="61">
                  <c:v>40848</c:v>
                </c:pt>
                <c:pt idx="62">
                  <c:v>40878</c:v>
                </c:pt>
                <c:pt idx="63">
                  <c:v>40909</c:v>
                </c:pt>
                <c:pt idx="64">
                  <c:v>40940</c:v>
                </c:pt>
                <c:pt idx="65">
                  <c:v>40969</c:v>
                </c:pt>
                <c:pt idx="66">
                  <c:v>41000</c:v>
                </c:pt>
                <c:pt idx="67">
                  <c:v>41030</c:v>
                </c:pt>
                <c:pt idx="68">
                  <c:v>41061</c:v>
                </c:pt>
                <c:pt idx="69">
                  <c:v>41091</c:v>
                </c:pt>
                <c:pt idx="70">
                  <c:v>41122</c:v>
                </c:pt>
                <c:pt idx="71">
                  <c:v>41153</c:v>
                </c:pt>
                <c:pt idx="72">
                  <c:v>41183</c:v>
                </c:pt>
                <c:pt idx="73">
                  <c:v>41214</c:v>
                </c:pt>
                <c:pt idx="74">
                  <c:v>41244</c:v>
                </c:pt>
                <c:pt idx="75">
                  <c:v>41275</c:v>
                </c:pt>
                <c:pt idx="76">
                  <c:v>41306</c:v>
                </c:pt>
                <c:pt idx="77">
                  <c:v>41334</c:v>
                </c:pt>
                <c:pt idx="78">
                  <c:v>41365</c:v>
                </c:pt>
                <c:pt idx="79">
                  <c:v>41395</c:v>
                </c:pt>
                <c:pt idx="80">
                  <c:v>41426</c:v>
                </c:pt>
                <c:pt idx="81">
                  <c:v>41456</c:v>
                </c:pt>
                <c:pt idx="82">
                  <c:v>41487</c:v>
                </c:pt>
                <c:pt idx="83">
                  <c:v>41518</c:v>
                </c:pt>
                <c:pt idx="84">
                  <c:v>41548</c:v>
                </c:pt>
                <c:pt idx="85">
                  <c:v>41579</c:v>
                </c:pt>
                <c:pt idx="86">
                  <c:v>41609</c:v>
                </c:pt>
                <c:pt idx="87">
                  <c:v>41640</c:v>
                </c:pt>
                <c:pt idx="88">
                  <c:v>41671</c:v>
                </c:pt>
                <c:pt idx="89">
                  <c:v>41699</c:v>
                </c:pt>
                <c:pt idx="90">
                  <c:v>41730</c:v>
                </c:pt>
                <c:pt idx="91">
                  <c:v>41760</c:v>
                </c:pt>
                <c:pt idx="92">
                  <c:v>41791</c:v>
                </c:pt>
                <c:pt idx="93">
                  <c:v>41821</c:v>
                </c:pt>
              </c:numCache>
            </c:numRef>
          </c:cat>
          <c:val>
            <c:numRef>
              <c:f>Time!$W$166:$DL$166</c:f>
              <c:numCache>
                <c:formatCode>0.0</c:formatCode>
                <c:ptCount val="94"/>
                <c:pt idx="0">
                  <c:v>0</c:v>
                </c:pt>
                <c:pt idx="1">
                  <c:v>3.1204547000000002</c:v>
                </c:pt>
                <c:pt idx="2">
                  <c:v>3.8846847000000002</c:v>
                </c:pt>
                <c:pt idx="3">
                  <c:v>4.9520947</c:v>
                </c:pt>
                <c:pt idx="4">
                  <c:v>5.3784426999999999</c:v>
                </c:pt>
                <c:pt idx="5">
                  <c:v>5.8629329500000003</c:v>
                </c:pt>
                <c:pt idx="6">
                  <c:v>5.8629329500000003</c:v>
                </c:pt>
                <c:pt idx="7">
                  <c:v>9.0013529500000011</c:v>
                </c:pt>
                <c:pt idx="8">
                  <c:v>9.4049917957400009</c:v>
                </c:pt>
                <c:pt idx="9">
                  <c:v>9.4049917957400009</c:v>
                </c:pt>
                <c:pt idx="10">
                  <c:v>9.4049917957400009</c:v>
                </c:pt>
                <c:pt idx="11">
                  <c:v>9.4049917957400009</c:v>
                </c:pt>
                <c:pt idx="12">
                  <c:v>9.4049917957400009</c:v>
                </c:pt>
                <c:pt idx="13">
                  <c:v>9.4049917957400009</c:v>
                </c:pt>
                <c:pt idx="14">
                  <c:v>9.6605517957400018</c:v>
                </c:pt>
                <c:pt idx="15">
                  <c:v>9.6605517957400018</c:v>
                </c:pt>
                <c:pt idx="16">
                  <c:v>9.6605517957400018</c:v>
                </c:pt>
                <c:pt idx="17">
                  <c:v>9.8673867957400017</c:v>
                </c:pt>
                <c:pt idx="18">
                  <c:v>9.8673867957400017</c:v>
                </c:pt>
                <c:pt idx="19">
                  <c:v>10.654624545740001</c:v>
                </c:pt>
                <c:pt idx="20">
                  <c:v>12.365976545740001</c:v>
                </c:pt>
                <c:pt idx="21">
                  <c:v>17.015332545740002</c:v>
                </c:pt>
                <c:pt idx="22">
                  <c:v>17.015332545740002</c:v>
                </c:pt>
                <c:pt idx="23">
                  <c:v>17.015332545740002</c:v>
                </c:pt>
                <c:pt idx="24">
                  <c:v>17.328129545740001</c:v>
                </c:pt>
                <c:pt idx="25">
                  <c:v>19.273726545740001</c:v>
                </c:pt>
                <c:pt idx="26">
                  <c:v>20.267886545740001</c:v>
                </c:pt>
                <c:pt idx="27">
                  <c:v>20.267886545740001</c:v>
                </c:pt>
                <c:pt idx="28">
                  <c:v>20.267886545740001</c:v>
                </c:pt>
                <c:pt idx="29">
                  <c:v>20.682734045740002</c:v>
                </c:pt>
                <c:pt idx="30">
                  <c:v>20.935203045740003</c:v>
                </c:pt>
                <c:pt idx="31">
                  <c:v>21.377788045740004</c:v>
                </c:pt>
                <c:pt idx="32">
                  <c:v>21.377788045740004</c:v>
                </c:pt>
                <c:pt idx="33">
                  <c:v>21.900108045740005</c:v>
                </c:pt>
                <c:pt idx="34">
                  <c:v>22.976879045740006</c:v>
                </c:pt>
                <c:pt idx="35">
                  <c:v>24.101290045740004</c:v>
                </c:pt>
                <c:pt idx="36">
                  <c:v>24.101290045740004</c:v>
                </c:pt>
                <c:pt idx="37">
                  <c:v>24.145963795740006</c:v>
                </c:pt>
                <c:pt idx="38">
                  <c:v>25.270102795740005</c:v>
                </c:pt>
                <c:pt idx="39">
                  <c:v>25.851773795740005</c:v>
                </c:pt>
                <c:pt idx="40">
                  <c:v>26.116778795740004</c:v>
                </c:pt>
                <c:pt idx="41">
                  <c:v>26.116778795740004</c:v>
                </c:pt>
                <c:pt idx="42">
                  <c:v>27.025022795740004</c:v>
                </c:pt>
                <c:pt idx="43">
                  <c:v>27.025022795740004</c:v>
                </c:pt>
                <c:pt idx="44">
                  <c:v>27.634243795740005</c:v>
                </c:pt>
                <c:pt idx="45">
                  <c:v>27.634243795740005</c:v>
                </c:pt>
                <c:pt idx="46">
                  <c:v>27.853683795740004</c:v>
                </c:pt>
                <c:pt idx="47">
                  <c:v>28.098483795740005</c:v>
                </c:pt>
                <c:pt idx="48">
                  <c:v>28.393900506740007</c:v>
                </c:pt>
                <c:pt idx="49">
                  <c:v>29.804160506740008</c:v>
                </c:pt>
                <c:pt idx="50">
                  <c:v>31.03553050674001</c:v>
                </c:pt>
                <c:pt idx="51">
                  <c:v>31.216510506740011</c:v>
                </c:pt>
                <c:pt idx="52">
                  <c:v>31.216510506740011</c:v>
                </c:pt>
                <c:pt idx="53">
                  <c:v>35.535142506740016</c:v>
                </c:pt>
                <c:pt idx="54">
                  <c:v>36.596422506740012</c:v>
                </c:pt>
                <c:pt idx="55">
                  <c:v>37.011069506740014</c:v>
                </c:pt>
                <c:pt idx="56">
                  <c:v>37.137204506740012</c:v>
                </c:pt>
                <c:pt idx="57">
                  <c:v>39.070637506740013</c:v>
                </c:pt>
                <c:pt idx="58">
                  <c:v>39.280900506740011</c:v>
                </c:pt>
                <c:pt idx="59">
                  <c:v>39.437850506740013</c:v>
                </c:pt>
                <c:pt idx="60">
                  <c:v>39.467787476740014</c:v>
                </c:pt>
                <c:pt idx="61">
                  <c:v>44.198532476740013</c:v>
                </c:pt>
                <c:pt idx="62">
                  <c:v>44.200865226740014</c:v>
                </c:pt>
                <c:pt idx="63">
                  <c:v>48.236266226740014</c:v>
                </c:pt>
                <c:pt idx="64">
                  <c:v>48.236266226740014</c:v>
                </c:pt>
                <c:pt idx="65">
                  <c:v>48.448774226740014</c:v>
                </c:pt>
                <c:pt idx="66">
                  <c:v>48.448774226740014</c:v>
                </c:pt>
                <c:pt idx="67">
                  <c:v>48.475883726740015</c:v>
                </c:pt>
                <c:pt idx="68">
                  <c:v>50.106880726740016</c:v>
                </c:pt>
                <c:pt idx="69">
                  <c:v>50.541885726740013</c:v>
                </c:pt>
                <c:pt idx="70">
                  <c:v>53.372232726740016</c:v>
                </c:pt>
                <c:pt idx="71">
                  <c:v>53.372232726740016</c:v>
                </c:pt>
                <c:pt idx="72">
                  <c:v>55.387350726740017</c:v>
                </c:pt>
                <c:pt idx="73">
                  <c:v>56.29641372674002</c:v>
                </c:pt>
                <c:pt idx="74">
                  <c:v>56.318670726740024</c:v>
                </c:pt>
                <c:pt idx="75">
                  <c:v>58.395514726740025</c:v>
                </c:pt>
                <c:pt idx="76">
                  <c:v>58.395514726740025</c:v>
                </c:pt>
                <c:pt idx="77">
                  <c:v>58.395514726740025</c:v>
                </c:pt>
                <c:pt idx="78">
                  <c:v>58.395514726740025</c:v>
                </c:pt>
                <c:pt idx="79">
                  <c:v>58.395514726740025</c:v>
                </c:pt>
                <c:pt idx="80">
                  <c:v>58.395514726740025</c:v>
                </c:pt>
                <c:pt idx="81">
                  <c:v>58.395514726740025</c:v>
                </c:pt>
                <c:pt idx="82">
                  <c:v>58.395514726740025</c:v>
                </c:pt>
                <c:pt idx="83">
                  <c:v>58.395514726740025</c:v>
                </c:pt>
                <c:pt idx="84">
                  <c:v>58.395514726740025</c:v>
                </c:pt>
                <c:pt idx="85">
                  <c:v>58.395514726740025</c:v>
                </c:pt>
                <c:pt idx="86">
                  <c:v>58.395514726740025</c:v>
                </c:pt>
                <c:pt idx="87">
                  <c:v>58.395514726740025</c:v>
                </c:pt>
                <c:pt idx="88">
                  <c:v>58.395514726740025</c:v>
                </c:pt>
                <c:pt idx="89">
                  <c:v>58.395514726740025</c:v>
                </c:pt>
                <c:pt idx="90">
                  <c:v>58.395514726740025</c:v>
                </c:pt>
                <c:pt idx="91">
                  <c:v>58.395514726740025</c:v>
                </c:pt>
                <c:pt idx="92">
                  <c:v>58.395514726740025</c:v>
                </c:pt>
                <c:pt idx="93">
                  <c:v>58.395514726740025</c:v>
                </c:pt>
              </c:numCache>
            </c:numRef>
          </c:val>
        </c:ser>
        <c:ser>
          <c:idx val="3"/>
          <c:order val="3"/>
          <c:tx>
            <c:strRef>
              <c:f>Time!$A$168</c:f>
              <c:strCache>
                <c:ptCount val="1"/>
                <c:pt idx="0">
                  <c:v>Energy Efficiency </c:v>
                </c:pt>
              </c:strCache>
            </c:strRef>
          </c:tx>
          <c:spPr>
            <a:solidFill>
              <a:srgbClr val="FFFF00"/>
            </a:solidFill>
            <a:ln w="12700">
              <a:solidFill>
                <a:srgbClr val="000000"/>
              </a:solidFill>
              <a:prstDash val="solid"/>
            </a:ln>
          </c:spPr>
          <c:cat>
            <c:numRef>
              <c:f>Time!$W$27:$DL$27</c:f>
              <c:numCache>
                <c:formatCode>mmm\-yy</c:formatCode>
                <c:ptCount val="94"/>
                <c:pt idx="0">
                  <c:v>38991</c:v>
                </c:pt>
                <c:pt idx="1">
                  <c:v>39022</c:v>
                </c:pt>
                <c:pt idx="2">
                  <c:v>39052</c:v>
                </c:pt>
                <c:pt idx="3">
                  <c:v>39083</c:v>
                </c:pt>
                <c:pt idx="4">
                  <c:v>39114</c:v>
                </c:pt>
                <c:pt idx="5">
                  <c:v>39142</c:v>
                </c:pt>
                <c:pt idx="6">
                  <c:v>39173</c:v>
                </c:pt>
                <c:pt idx="7">
                  <c:v>39203</c:v>
                </c:pt>
                <c:pt idx="8">
                  <c:v>39234</c:v>
                </c:pt>
                <c:pt idx="9">
                  <c:v>39264</c:v>
                </c:pt>
                <c:pt idx="10">
                  <c:v>39295</c:v>
                </c:pt>
                <c:pt idx="11">
                  <c:v>39326</c:v>
                </c:pt>
                <c:pt idx="12">
                  <c:v>39356</c:v>
                </c:pt>
                <c:pt idx="13">
                  <c:v>39387</c:v>
                </c:pt>
                <c:pt idx="14">
                  <c:v>39417</c:v>
                </c:pt>
                <c:pt idx="15">
                  <c:v>39448</c:v>
                </c:pt>
                <c:pt idx="16">
                  <c:v>39479</c:v>
                </c:pt>
                <c:pt idx="17">
                  <c:v>39508</c:v>
                </c:pt>
                <c:pt idx="18">
                  <c:v>39539</c:v>
                </c:pt>
                <c:pt idx="19">
                  <c:v>39569</c:v>
                </c:pt>
                <c:pt idx="20">
                  <c:v>39600</c:v>
                </c:pt>
                <c:pt idx="21">
                  <c:v>39630</c:v>
                </c:pt>
                <c:pt idx="22">
                  <c:v>39661</c:v>
                </c:pt>
                <c:pt idx="23">
                  <c:v>39692</c:v>
                </c:pt>
                <c:pt idx="24">
                  <c:v>39722</c:v>
                </c:pt>
                <c:pt idx="25">
                  <c:v>39753</c:v>
                </c:pt>
                <c:pt idx="26">
                  <c:v>39783</c:v>
                </c:pt>
                <c:pt idx="27">
                  <c:v>39814</c:v>
                </c:pt>
                <c:pt idx="28">
                  <c:v>39845</c:v>
                </c:pt>
                <c:pt idx="29">
                  <c:v>39873</c:v>
                </c:pt>
                <c:pt idx="30">
                  <c:v>39904</c:v>
                </c:pt>
                <c:pt idx="31">
                  <c:v>39934</c:v>
                </c:pt>
                <c:pt idx="32">
                  <c:v>39965</c:v>
                </c:pt>
                <c:pt idx="33">
                  <c:v>39995</c:v>
                </c:pt>
                <c:pt idx="34">
                  <c:v>40026</c:v>
                </c:pt>
                <c:pt idx="35">
                  <c:v>40057</c:v>
                </c:pt>
                <c:pt idx="36">
                  <c:v>40087</c:v>
                </c:pt>
                <c:pt idx="37">
                  <c:v>40118</c:v>
                </c:pt>
                <c:pt idx="38">
                  <c:v>40148</c:v>
                </c:pt>
                <c:pt idx="39">
                  <c:v>40179</c:v>
                </c:pt>
                <c:pt idx="40">
                  <c:v>40210</c:v>
                </c:pt>
                <c:pt idx="41">
                  <c:v>40238</c:v>
                </c:pt>
                <c:pt idx="42">
                  <c:v>40269</c:v>
                </c:pt>
                <c:pt idx="43">
                  <c:v>40299</c:v>
                </c:pt>
                <c:pt idx="44">
                  <c:v>40330</c:v>
                </c:pt>
                <c:pt idx="45">
                  <c:v>40360</c:v>
                </c:pt>
                <c:pt idx="46">
                  <c:v>40391</c:v>
                </c:pt>
                <c:pt idx="47">
                  <c:v>40422</c:v>
                </c:pt>
                <c:pt idx="48">
                  <c:v>40452</c:v>
                </c:pt>
                <c:pt idx="49">
                  <c:v>40483</c:v>
                </c:pt>
                <c:pt idx="50">
                  <c:v>40513</c:v>
                </c:pt>
                <c:pt idx="51">
                  <c:v>40544</c:v>
                </c:pt>
                <c:pt idx="52">
                  <c:v>40575</c:v>
                </c:pt>
                <c:pt idx="53">
                  <c:v>40603</c:v>
                </c:pt>
                <c:pt idx="54">
                  <c:v>40634</c:v>
                </c:pt>
                <c:pt idx="55">
                  <c:v>40664</c:v>
                </c:pt>
                <c:pt idx="56">
                  <c:v>40695</c:v>
                </c:pt>
                <c:pt idx="57">
                  <c:v>40725</c:v>
                </c:pt>
                <c:pt idx="58">
                  <c:v>40756</c:v>
                </c:pt>
                <c:pt idx="59">
                  <c:v>40787</c:v>
                </c:pt>
                <c:pt idx="60">
                  <c:v>40817</c:v>
                </c:pt>
                <c:pt idx="61">
                  <c:v>40848</c:v>
                </c:pt>
                <c:pt idx="62">
                  <c:v>40878</c:v>
                </c:pt>
                <c:pt idx="63">
                  <c:v>40909</c:v>
                </c:pt>
                <c:pt idx="64">
                  <c:v>40940</c:v>
                </c:pt>
                <c:pt idx="65">
                  <c:v>40969</c:v>
                </c:pt>
                <c:pt idx="66">
                  <c:v>41000</c:v>
                </c:pt>
                <c:pt idx="67">
                  <c:v>41030</c:v>
                </c:pt>
                <c:pt idx="68">
                  <c:v>41061</c:v>
                </c:pt>
                <c:pt idx="69">
                  <c:v>41091</c:v>
                </c:pt>
                <c:pt idx="70">
                  <c:v>41122</c:v>
                </c:pt>
                <c:pt idx="71">
                  <c:v>41153</c:v>
                </c:pt>
                <c:pt idx="72">
                  <c:v>41183</c:v>
                </c:pt>
                <c:pt idx="73">
                  <c:v>41214</c:v>
                </c:pt>
                <c:pt idx="74">
                  <c:v>41244</c:v>
                </c:pt>
                <c:pt idx="75">
                  <c:v>41275</c:v>
                </c:pt>
                <c:pt idx="76">
                  <c:v>41306</c:v>
                </c:pt>
                <c:pt idx="77">
                  <c:v>41334</c:v>
                </c:pt>
                <c:pt idx="78">
                  <c:v>41365</c:v>
                </c:pt>
                <c:pt idx="79">
                  <c:v>41395</c:v>
                </c:pt>
                <c:pt idx="80">
                  <c:v>41426</c:v>
                </c:pt>
                <c:pt idx="81">
                  <c:v>41456</c:v>
                </c:pt>
                <c:pt idx="82">
                  <c:v>41487</c:v>
                </c:pt>
                <c:pt idx="83">
                  <c:v>41518</c:v>
                </c:pt>
                <c:pt idx="84">
                  <c:v>41548</c:v>
                </c:pt>
                <c:pt idx="85">
                  <c:v>41579</c:v>
                </c:pt>
                <c:pt idx="86">
                  <c:v>41609</c:v>
                </c:pt>
                <c:pt idx="87">
                  <c:v>41640</c:v>
                </c:pt>
                <c:pt idx="88">
                  <c:v>41671</c:v>
                </c:pt>
                <c:pt idx="89">
                  <c:v>41699</c:v>
                </c:pt>
                <c:pt idx="90">
                  <c:v>41730</c:v>
                </c:pt>
                <c:pt idx="91">
                  <c:v>41760</c:v>
                </c:pt>
                <c:pt idx="92">
                  <c:v>41791</c:v>
                </c:pt>
                <c:pt idx="93">
                  <c:v>41821</c:v>
                </c:pt>
              </c:numCache>
            </c:numRef>
          </c:cat>
          <c:val>
            <c:numRef>
              <c:f>Time!$W$168:$DL$168</c:f>
              <c:numCache>
                <c:formatCode>0.0</c:formatCode>
                <c:ptCount val="94"/>
                <c:pt idx="0">
                  <c:v>3.0234040000000002</c:v>
                </c:pt>
                <c:pt idx="1">
                  <c:v>8.5694630000000007</c:v>
                </c:pt>
                <c:pt idx="2">
                  <c:v>9.2742930000000001</c:v>
                </c:pt>
                <c:pt idx="3">
                  <c:v>10.711886</c:v>
                </c:pt>
                <c:pt idx="4">
                  <c:v>13.876614999999999</c:v>
                </c:pt>
                <c:pt idx="5">
                  <c:v>18.407959999999999</c:v>
                </c:pt>
                <c:pt idx="6">
                  <c:v>18.407959999999999</c:v>
                </c:pt>
                <c:pt idx="7">
                  <c:v>18.407959999999999</c:v>
                </c:pt>
                <c:pt idx="8">
                  <c:v>18.407959999999999</c:v>
                </c:pt>
                <c:pt idx="9">
                  <c:v>28.704450999999999</c:v>
                </c:pt>
                <c:pt idx="10">
                  <c:v>28.704450999999999</c:v>
                </c:pt>
                <c:pt idx="11">
                  <c:v>28.704450999999999</c:v>
                </c:pt>
                <c:pt idx="12">
                  <c:v>29.349473099999997</c:v>
                </c:pt>
                <c:pt idx="13">
                  <c:v>29.349473099999997</c:v>
                </c:pt>
                <c:pt idx="14">
                  <c:v>30.773898099999997</c:v>
                </c:pt>
                <c:pt idx="15">
                  <c:v>31.778005899999997</c:v>
                </c:pt>
                <c:pt idx="16">
                  <c:v>31.778005899999997</c:v>
                </c:pt>
                <c:pt idx="17">
                  <c:v>31.778005899999997</c:v>
                </c:pt>
                <c:pt idx="18">
                  <c:v>31.778005899999997</c:v>
                </c:pt>
                <c:pt idx="19">
                  <c:v>32.449282699999998</c:v>
                </c:pt>
                <c:pt idx="20">
                  <c:v>33.375058699999997</c:v>
                </c:pt>
                <c:pt idx="21">
                  <c:v>33.375058699999997</c:v>
                </c:pt>
                <c:pt idx="22">
                  <c:v>35.957352699999994</c:v>
                </c:pt>
                <c:pt idx="23">
                  <c:v>37.957352699999994</c:v>
                </c:pt>
                <c:pt idx="24">
                  <c:v>37.957352699999994</c:v>
                </c:pt>
                <c:pt idx="25">
                  <c:v>38.130707699999995</c:v>
                </c:pt>
                <c:pt idx="26">
                  <c:v>38.130707699999995</c:v>
                </c:pt>
                <c:pt idx="27">
                  <c:v>38.130707699999995</c:v>
                </c:pt>
                <c:pt idx="28">
                  <c:v>38.130707699999995</c:v>
                </c:pt>
                <c:pt idx="29">
                  <c:v>38.130707699999995</c:v>
                </c:pt>
                <c:pt idx="30">
                  <c:v>39.806503998999993</c:v>
                </c:pt>
                <c:pt idx="31">
                  <c:v>39.806503998999993</c:v>
                </c:pt>
                <c:pt idx="32">
                  <c:v>41.296933998999997</c:v>
                </c:pt>
                <c:pt idx="33">
                  <c:v>41.471881998999997</c:v>
                </c:pt>
                <c:pt idx="34">
                  <c:v>44.180299998999999</c:v>
                </c:pt>
                <c:pt idx="35">
                  <c:v>47.036348998999998</c:v>
                </c:pt>
                <c:pt idx="36">
                  <c:v>49.448336298999997</c:v>
                </c:pt>
                <c:pt idx="37">
                  <c:v>59.190536299000001</c:v>
                </c:pt>
                <c:pt idx="38">
                  <c:v>61.839330299000004</c:v>
                </c:pt>
                <c:pt idx="39">
                  <c:v>65.313403299000001</c:v>
                </c:pt>
                <c:pt idx="40">
                  <c:v>68.655025699000007</c:v>
                </c:pt>
                <c:pt idx="41">
                  <c:v>68.655025699000007</c:v>
                </c:pt>
                <c:pt idx="42">
                  <c:v>71.41880869900001</c:v>
                </c:pt>
                <c:pt idx="43">
                  <c:v>72.186166699000012</c:v>
                </c:pt>
                <c:pt idx="44">
                  <c:v>83.30866029900001</c:v>
                </c:pt>
                <c:pt idx="45">
                  <c:v>86.024853299000014</c:v>
                </c:pt>
                <c:pt idx="46">
                  <c:v>89.694231299000009</c:v>
                </c:pt>
                <c:pt idx="47">
                  <c:v>92.634647299000008</c:v>
                </c:pt>
                <c:pt idx="48">
                  <c:v>95.80276729900001</c:v>
                </c:pt>
                <c:pt idx="49">
                  <c:v>99.327523299000006</c:v>
                </c:pt>
                <c:pt idx="50">
                  <c:v>107.36008829900001</c:v>
                </c:pt>
                <c:pt idx="51">
                  <c:v>109.635352299</c:v>
                </c:pt>
                <c:pt idx="52">
                  <c:v>110.412676299</c:v>
                </c:pt>
                <c:pt idx="53">
                  <c:v>114.100970299</c:v>
                </c:pt>
                <c:pt idx="54">
                  <c:v>117.459996299</c:v>
                </c:pt>
                <c:pt idx="55">
                  <c:v>132.83579329899999</c:v>
                </c:pt>
                <c:pt idx="56">
                  <c:v>134.98363654899998</c:v>
                </c:pt>
                <c:pt idx="57">
                  <c:v>149.52525054899999</c:v>
                </c:pt>
                <c:pt idx="58">
                  <c:v>158.25896354899999</c:v>
                </c:pt>
                <c:pt idx="59">
                  <c:v>170.837354549</c:v>
                </c:pt>
                <c:pt idx="60">
                  <c:v>171.47929754899999</c:v>
                </c:pt>
                <c:pt idx="61">
                  <c:v>181.617355549</c:v>
                </c:pt>
                <c:pt idx="62">
                  <c:v>190.577755973</c:v>
                </c:pt>
                <c:pt idx="63">
                  <c:v>205.41169497299998</c:v>
                </c:pt>
                <c:pt idx="64">
                  <c:v>205.96471700999999</c:v>
                </c:pt>
                <c:pt idx="65">
                  <c:v>234.80339064799998</c:v>
                </c:pt>
                <c:pt idx="66">
                  <c:v>236.69362764799999</c:v>
                </c:pt>
                <c:pt idx="67">
                  <c:v>237.03689764799998</c:v>
                </c:pt>
                <c:pt idx="68">
                  <c:v>242.54124164799998</c:v>
                </c:pt>
                <c:pt idx="69">
                  <c:v>251.48683264799999</c:v>
                </c:pt>
                <c:pt idx="70">
                  <c:v>260.81011964800001</c:v>
                </c:pt>
                <c:pt idx="71">
                  <c:v>261.00159664800003</c:v>
                </c:pt>
                <c:pt idx="72">
                  <c:v>272.37540864800002</c:v>
                </c:pt>
                <c:pt idx="73">
                  <c:v>300.35503064800002</c:v>
                </c:pt>
                <c:pt idx="74">
                  <c:v>340.704960648</c:v>
                </c:pt>
                <c:pt idx="75">
                  <c:v>344.48889664799998</c:v>
                </c:pt>
                <c:pt idx="76">
                  <c:v>344.48889664799998</c:v>
                </c:pt>
                <c:pt idx="77">
                  <c:v>344.48889664799998</c:v>
                </c:pt>
                <c:pt idx="78">
                  <c:v>352.32907264799996</c:v>
                </c:pt>
                <c:pt idx="79">
                  <c:v>352.32907264799996</c:v>
                </c:pt>
                <c:pt idx="80">
                  <c:v>352.32907264799996</c:v>
                </c:pt>
                <c:pt idx="81">
                  <c:v>352.32907264799996</c:v>
                </c:pt>
                <c:pt idx="82">
                  <c:v>355.42269364799995</c:v>
                </c:pt>
                <c:pt idx="83">
                  <c:v>355.42269364799995</c:v>
                </c:pt>
                <c:pt idx="84">
                  <c:v>355.68310364799993</c:v>
                </c:pt>
                <c:pt idx="85">
                  <c:v>355.68310364799993</c:v>
                </c:pt>
                <c:pt idx="86">
                  <c:v>359.66021864799995</c:v>
                </c:pt>
                <c:pt idx="87">
                  <c:v>359.66021864799995</c:v>
                </c:pt>
                <c:pt idx="88">
                  <c:v>359.66021864799995</c:v>
                </c:pt>
                <c:pt idx="89">
                  <c:v>359.66021864799995</c:v>
                </c:pt>
                <c:pt idx="90">
                  <c:v>359.66021864799995</c:v>
                </c:pt>
                <c:pt idx="91">
                  <c:v>359.66021864799995</c:v>
                </c:pt>
                <c:pt idx="92">
                  <c:v>359.66021864799995</c:v>
                </c:pt>
                <c:pt idx="93">
                  <c:v>359.66021864799995</c:v>
                </c:pt>
              </c:numCache>
            </c:numRef>
          </c:val>
        </c:ser>
        <c:ser>
          <c:idx val="4"/>
          <c:order val="4"/>
          <c:tx>
            <c:strRef>
              <c:f>Time!$A$169</c:f>
              <c:strCache>
                <c:ptCount val="1"/>
                <c:pt idx="0">
                  <c:v>Fuel switch</c:v>
                </c:pt>
              </c:strCache>
            </c:strRef>
          </c:tx>
          <c:spPr>
            <a:solidFill>
              <a:srgbClr val="99CC00"/>
            </a:solidFill>
            <a:ln w="12700">
              <a:solidFill>
                <a:srgbClr val="000000"/>
              </a:solidFill>
              <a:prstDash val="solid"/>
            </a:ln>
          </c:spPr>
          <c:cat>
            <c:numRef>
              <c:f>Time!$W$27:$DL$27</c:f>
              <c:numCache>
                <c:formatCode>mmm\-yy</c:formatCode>
                <c:ptCount val="94"/>
                <c:pt idx="0">
                  <c:v>38991</c:v>
                </c:pt>
                <c:pt idx="1">
                  <c:v>39022</c:v>
                </c:pt>
                <c:pt idx="2">
                  <c:v>39052</c:v>
                </c:pt>
                <c:pt idx="3">
                  <c:v>39083</c:v>
                </c:pt>
                <c:pt idx="4">
                  <c:v>39114</c:v>
                </c:pt>
                <c:pt idx="5">
                  <c:v>39142</c:v>
                </c:pt>
                <c:pt idx="6">
                  <c:v>39173</c:v>
                </c:pt>
                <c:pt idx="7">
                  <c:v>39203</c:v>
                </c:pt>
                <c:pt idx="8">
                  <c:v>39234</c:v>
                </c:pt>
                <c:pt idx="9">
                  <c:v>39264</c:v>
                </c:pt>
                <c:pt idx="10">
                  <c:v>39295</c:v>
                </c:pt>
                <c:pt idx="11">
                  <c:v>39326</c:v>
                </c:pt>
                <c:pt idx="12">
                  <c:v>39356</c:v>
                </c:pt>
                <c:pt idx="13">
                  <c:v>39387</c:v>
                </c:pt>
                <c:pt idx="14">
                  <c:v>39417</c:v>
                </c:pt>
                <c:pt idx="15">
                  <c:v>39448</c:v>
                </c:pt>
                <c:pt idx="16">
                  <c:v>39479</c:v>
                </c:pt>
                <c:pt idx="17">
                  <c:v>39508</c:v>
                </c:pt>
                <c:pt idx="18">
                  <c:v>39539</c:v>
                </c:pt>
                <c:pt idx="19">
                  <c:v>39569</c:v>
                </c:pt>
                <c:pt idx="20">
                  <c:v>39600</c:v>
                </c:pt>
                <c:pt idx="21">
                  <c:v>39630</c:v>
                </c:pt>
                <c:pt idx="22">
                  <c:v>39661</c:v>
                </c:pt>
                <c:pt idx="23">
                  <c:v>39692</c:v>
                </c:pt>
                <c:pt idx="24">
                  <c:v>39722</c:v>
                </c:pt>
                <c:pt idx="25">
                  <c:v>39753</c:v>
                </c:pt>
                <c:pt idx="26">
                  <c:v>39783</c:v>
                </c:pt>
                <c:pt idx="27">
                  <c:v>39814</c:v>
                </c:pt>
                <c:pt idx="28">
                  <c:v>39845</c:v>
                </c:pt>
                <c:pt idx="29">
                  <c:v>39873</c:v>
                </c:pt>
                <c:pt idx="30">
                  <c:v>39904</c:v>
                </c:pt>
                <c:pt idx="31">
                  <c:v>39934</c:v>
                </c:pt>
                <c:pt idx="32">
                  <c:v>39965</c:v>
                </c:pt>
                <c:pt idx="33">
                  <c:v>39995</c:v>
                </c:pt>
                <c:pt idx="34">
                  <c:v>40026</c:v>
                </c:pt>
                <c:pt idx="35">
                  <c:v>40057</c:v>
                </c:pt>
                <c:pt idx="36">
                  <c:v>40087</c:v>
                </c:pt>
                <c:pt idx="37">
                  <c:v>40118</c:v>
                </c:pt>
                <c:pt idx="38">
                  <c:v>40148</c:v>
                </c:pt>
                <c:pt idx="39">
                  <c:v>40179</c:v>
                </c:pt>
                <c:pt idx="40">
                  <c:v>40210</c:v>
                </c:pt>
                <c:pt idx="41">
                  <c:v>40238</c:v>
                </c:pt>
                <c:pt idx="42">
                  <c:v>40269</c:v>
                </c:pt>
                <c:pt idx="43">
                  <c:v>40299</c:v>
                </c:pt>
                <c:pt idx="44">
                  <c:v>40330</c:v>
                </c:pt>
                <c:pt idx="45">
                  <c:v>40360</c:v>
                </c:pt>
                <c:pt idx="46">
                  <c:v>40391</c:v>
                </c:pt>
                <c:pt idx="47">
                  <c:v>40422</c:v>
                </c:pt>
                <c:pt idx="48">
                  <c:v>40452</c:v>
                </c:pt>
                <c:pt idx="49">
                  <c:v>40483</c:v>
                </c:pt>
                <c:pt idx="50">
                  <c:v>40513</c:v>
                </c:pt>
                <c:pt idx="51">
                  <c:v>40544</c:v>
                </c:pt>
                <c:pt idx="52">
                  <c:v>40575</c:v>
                </c:pt>
                <c:pt idx="53">
                  <c:v>40603</c:v>
                </c:pt>
                <c:pt idx="54">
                  <c:v>40634</c:v>
                </c:pt>
                <c:pt idx="55">
                  <c:v>40664</c:v>
                </c:pt>
                <c:pt idx="56">
                  <c:v>40695</c:v>
                </c:pt>
                <c:pt idx="57">
                  <c:v>40725</c:v>
                </c:pt>
                <c:pt idx="58">
                  <c:v>40756</c:v>
                </c:pt>
                <c:pt idx="59">
                  <c:v>40787</c:v>
                </c:pt>
                <c:pt idx="60">
                  <c:v>40817</c:v>
                </c:pt>
                <c:pt idx="61">
                  <c:v>40848</c:v>
                </c:pt>
                <c:pt idx="62">
                  <c:v>40878</c:v>
                </c:pt>
                <c:pt idx="63">
                  <c:v>40909</c:v>
                </c:pt>
                <c:pt idx="64">
                  <c:v>40940</c:v>
                </c:pt>
                <c:pt idx="65">
                  <c:v>40969</c:v>
                </c:pt>
                <c:pt idx="66">
                  <c:v>41000</c:v>
                </c:pt>
                <c:pt idx="67">
                  <c:v>41030</c:v>
                </c:pt>
                <c:pt idx="68">
                  <c:v>41061</c:v>
                </c:pt>
                <c:pt idx="69">
                  <c:v>41091</c:v>
                </c:pt>
                <c:pt idx="70">
                  <c:v>41122</c:v>
                </c:pt>
                <c:pt idx="71">
                  <c:v>41153</c:v>
                </c:pt>
                <c:pt idx="72">
                  <c:v>41183</c:v>
                </c:pt>
                <c:pt idx="73">
                  <c:v>41214</c:v>
                </c:pt>
                <c:pt idx="74">
                  <c:v>41244</c:v>
                </c:pt>
                <c:pt idx="75">
                  <c:v>41275</c:v>
                </c:pt>
                <c:pt idx="76">
                  <c:v>41306</c:v>
                </c:pt>
                <c:pt idx="77">
                  <c:v>41334</c:v>
                </c:pt>
                <c:pt idx="78">
                  <c:v>41365</c:v>
                </c:pt>
                <c:pt idx="79">
                  <c:v>41395</c:v>
                </c:pt>
                <c:pt idx="80">
                  <c:v>41426</c:v>
                </c:pt>
                <c:pt idx="81">
                  <c:v>41456</c:v>
                </c:pt>
                <c:pt idx="82">
                  <c:v>41487</c:v>
                </c:pt>
                <c:pt idx="83">
                  <c:v>41518</c:v>
                </c:pt>
                <c:pt idx="84">
                  <c:v>41548</c:v>
                </c:pt>
                <c:pt idx="85">
                  <c:v>41579</c:v>
                </c:pt>
                <c:pt idx="86">
                  <c:v>41609</c:v>
                </c:pt>
                <c:pt idx="87">
                  <c:v>41640</c:v>
                </c:pt>
                <c:pt idx="88">
                  <c:v>41671</c:v>
                </c:pt>
                <c:pt idx="89">
                  <c:v>41699</c:v>
                </c:pt>
                <c:pt idx="90">
                  <c:v>41730</c:v>
                </c:pt>
                <c:pt idx="91">
                  <c:v>41760</c:v>
                </c:pt>
                <c:pt idx="92">
                  <c:v>41791</c:v>
                </c:pt>
                <c:pt idx="93">
                  <c:v>41821</c:v>
                </c:pt>
              </c:numCache>
            </c:numRef>
          </c:cat>
          <c:val>
            <c:numRef>
              <c:f>Time!$W$169:$DL$169</c:f>
              <c:numCache>
                <c:formatCode>0.0</c:formatCode>
                <c:ptCount val="94"/>
                <c:pt idx="0">
                  <c:v>0</c:v>
                </c:pt>
                <c:pt idx="1">
                  <c:v>0</c:v>
                </c:pt>
                <c:pt idx="2">
                  <c:v>0.52340000000000009</c:v>
                </c:pt>
                <c:pt idx="3">
                  <c:v>6.6234000000000002</c:v>
                </c:pt>
                <c:pt idx="4">
                  <c:v>6.6234000000000002</c:v>
                </c:pt>
                <c:pt idx="5">
                  <c:v>6.6234000000000002</c:v>
                </c:pt>
                <c:pt idx="6">
                  <c:v>6.6234000000000002</c:v>
                </c:pt>
                <c:pt idx="7">
                  <c:v>6.6234000000000002</c:v>
                </c:pt>
                <c:pt idx="8">
                  <c:v>6.6234000000000002</c:v>
                </c:pt>
                <c:pt idx="9">
                  <c:v>7.6902737500000002</c:v>
                </c:pt>
                <c:pt idx="10">
                  <c:v>8.6534177500000009</c:v>
                </c:pt>
                <c:pt idx="11">
                  <c:v>8.6534177500000009</c:v>
                </c:pt>
                <c:pt idx="12">
                  <c:v>8.6534177500000009</c:v>
                </c:pt>
                <c:pt idx="13">
                  <c:v>8.6534177500000009</c:v>
                </c:pt>
                <c:pt idx="14">
                  <c:v>8.6534177500000009</c:v>
                </c:pt>
                <c:pt idx="15">
                  <c:v>8.6534177500000009</c:v>
                </c:pt>
                <c:pt idx="16">
                  <c:v>8.6534177500000009</c:v>
                </c:pt>
                <c:pt idx="17">
                  <c:v>8.6534177500000009</c:v>
                </c:pt>
                <c:pt idx="18">
                  <c:v>8.6534177500000009</c:v>
                </c:pt>
                <c:pt idx="19">
                  <c:v>8.6534177500000009</c:v>
                </c:pt>
                <c:pt idx="20">
                  <c:v>8.6534177500000009</c:v>
                </c:pt>
                <c:pt idx="21">
                  <c:v>8.6534177500000009</c:v>
                </c:pt>
                <c:pt idx="22">
                  <c:v>8.6534177500000009</c:v>
                </c:pt>
                <c:pt idx="23">
                  <c:v>8.6534177500000009</c:v>
                </c:pt>
                <c:pt idx="24">
                  <c:v>8.6534177500000009</c:v>
                </c:pt>
                <c:pt idx="25">
                  <c:v>8.6534177500000009</c:v>
                </c:pt>
                <c:pt idx="26">
                  <c:v>8.8654377500000017</c:v>
                </c:pt>
                <c:pt idx="27">
                  <c:v>8.8654377500000017</c:v>
                </c:pt>
                <c:pt idx="28">
                  <c:v>8.8654377500000017</c:v>
                </c:pt>
                <c:pt idx="29">
                  <c:v>9.1100297500000025</c:v>
                </c:pt>
                <c:pt idx="30">
                  <c:v>9.1100297500000025</c:v>
                </c:pt>
                <c:pt idx="31">
                  <c:v>9.1100297500000025</c:v>
                </c:pt>
                <c:pt idx="32">
                  <c:v>9.1100297500000025</c:v>
                </c:pt>
                <c:pt idx="33">
                  <c:v>9.1100297500000025</c:v>
                </c:pt>
                <c:pt idx="34">
                  <c:v>9.1100297500000025</c:v>
                </c:pt>
                <c:pt idx="35">
                  <c:v>9.1100297500000025</c:v>
                </c:pt>
                <c:pt idx="36">
                  <c:v>11.838468154000003</c:v>
                </c:pt>
                <c:pt idx="37">
                  <c:v>11.838468154000003</c:v>
                </c:pt>
                <c:pt idx="38">
                  <c:v>11.838468154000003</c:v>
                </c:pt>
                <c:pt idx="39">
                  <c:v>11.838468154000003</c:v>
                </c:pt>
                <c:pt idx="40">
                  <c:v>11.838468154000003</c:v>
                </c:pt>
                <c:pt idx="41">
                  <c:v>11.838468154000003</c:v>
                </c:pt>
                <c:pt idx="42">
                  <c:v>12.440644154000003</c:v>
                </c:pt>
                <c:pt idx="43">
                  <c:v>13.881800154000002</c:v>
                </c:pt>
                <c:pt idx="44">
                  <c:v>13.881800154000002</c:v>
                </c:pt>
                <c:pt idx="45">
                  <c:v>13.881800154000002</c:v>
                </c:pt>
                <c:pt idx="46">
                  <c:v>13.881800154000002</c:v>
                </c:pt>
                <c:pt idx="47">
                  <c:v>13.881800154000002</c:v>
                </c:pt>
                <c:pt idx="48">
                  <c:v>13.881800154000002</c:v>
                </c:pt>
                <c:pt idx="49">
                  <c:v>13.881800154000002</c:v>
                </c:pt>
                <c:pt idx="50">
                  <c:v>14.781800154000003</c:v>
                </c:pt>
                <c:pt idx="51">
                  <c:v>14.781800154000003</c:v>
                </c:pt>
                <c:pt idx="52">
                  <c:v>14.781800154000003</c:v>
                </c:pt>
                <c:pt idx="53">
                  <c:v>15.389566154000002</c:v>
                </c:pt>
                <c:pt idx="54">
                  <c:v>15.389566154000002</c:v>
                </c:pt>
                <c:pt idx="55">
                  <c:v>15.389566154000002</c:v>
                </c:pt>
                <c:pt idx="56">
                  <c:v>15.389566154000002</c:v>
                </c:pt>
                <c:pt idx="57">
                  <c:v>15.389566154000002</c:v>
                </c:pt>
                <c:pt idx="58">
                  <c:v>15.389566154000002</c:v>
                </c:pt>
                <c:pt idx="59">
                  <c:v>20.188871154000005</c:v>
                </c:pt>
                <c:pt idx="60">
                  <c:v>20.188871154000005</c:v>
                </c:pt>
                <c:pt idx="61">
                  <c:v>20.188871154000005</c:v>
                </c:pt>
                <c:pt idx="62">
                  <c:v>20.561426154000003</c:v>
                </c:pt>
                <c:pt idx="63">
                  <c:v>20.561426154000003</c:v>
                </c:pt>
                <c:pt idx="64">
                  <c:v>20.561426154000003</c:v>
                </c:pt>
                <c:pt idx="65">
                  <c:v>22.479023584000004</c:v>
                </c:pt>
                <c:pt idx="66">
                  <c:v>22.479023584000004</c:v>
                </c:pt>
                <c:pt idx="67">
                  <c:v>22.479023584000004</c:v>
                </c:pt>
                <c:pt idx="68">
                  <c:v>23.077758584000005</c:v>
                </c:pt>
                <c:pt idx="69">
                  <c:v>37.508415584000005</c:v>
                </c:pt>
                <c:pt idx="70">
                  <c:v>37.508415584000005</c:v>
                </c:pt>
                <c:pt idx="71">
                  <c:v>37.508415584000005</c:v>
                </c:pt>
                <c:pt idx="72">
                  <c:v>40.583249584000008</c:v>
                </c:pt>
                <c:pt idx="73">
                  <c:v>41.289672584000009</c:v>
                </c:pt>
                <c:pt idx="74">
                  <c:v>41.289672584000009</c:v>
                </c:pt>
                <c:pt idx="75">
                  <c:v>41.289672584000009</c:v>
                </c:pt>
                <c:pt idx="76">
                  <c:v>41.289672584000009</c:v>
                </c:pt>
                <c:pt idx="77">
                  <c:v>41.289672584000009</c:v>
                </c:pt>
                <c:pt idx="78">
                  <c:v>41.289672584000009</c:v>
                </c:pt>
                <c:pt idx="79">
                  <c:v>41.289672584000009</c:v>
                </c:pt>
                <c:pt idx="80">
                  <c:v>41.289672584000009</c:v>
                </c:pt>
                <c:pt idx="81">
                  <c:v>41.289672584000009</c:v>
                </c:pt>
                <c:pt idx="82">
                  <c:v>41.289672584000009</c:v>
                </c:pt>
                <c:pt idx="83">
                  <c:v>41.289672584000009</c:v>
                </c:pt>
                <c:pt idx="84">
                  <c:v>41.289672584000009</c:v>
                </c:pt>
                <c:pt idx="85">
                  <c:v>41.289672584000009</c:v>
                </c:pt>
                <c:pt idx="86">
                  <c:v>41.289672584000009</c:v>
                </c:pt>
                <c:pt idx="87">
                  <c:v>41.289672584000009</c:v>
                </c:pt>
                <c:pt idx="88">
                  <c:v>41.289672584000009</c:v>
                </c:pt>
                <c:pt idx="89">
                  <c:v>41.289672584000009</c:v>
                </c:pt>
                <c:pt idx="90">
                  <c:v>41.289672584000009</c:v>
                </c:pt>
                <c:pt idx="91">
                  <c:v>41.289672584000009</c:v>
                </c:pt>
                <c:pt idx="92">
                  <c:v>41.289672584000009</c:v>
                </c:pt>
                <c:pt idx="93">
                  <c:v>41.289672584000009</c:v>
                </c:pt>
              </c:numCache>
            </c:numRef>
          </c:val>
        </c:ser>
        <c:ser>
          <c:idx val="5"/>
          <c:order val="5"/>
          <c:tx>
            <c:strRef>
              <c:f>Time!$A$171</c:f>
              <c:strCache>
                <c:ptCount val="1"/>
                <c:pt idx="0">
                  <c:v>Afforestation, Reforestation &amp; Avoided deforestation</c:v>
                </c:pt>
              </c:strCache>
            </c:strRef>
          </c:tx>
          <c:spPr>
            <a:solidFill>
              <a:srgbClr val="808000"/>
            </a:solidFill>
            <a:ln w="12700">
              <a:solidFill>
                <a:srgbClr val="000000"/>
              </a:solidFill>
              <a:prstDash val="solid"/>
            </a:ln>
          </c:spPr>
          <c:cat>
            <c:numRef>
              <c:f>Time!$W$27:$DL$27</c:f>
              <c:numCache>
                <c:formatCode>mmm\-yy</c:formatCode>
                <c:ptCount val="94"/>
                <c:pt idx="0">
                  <c:v>38991</c:v>
                </c:pt>
                <c:pt idx="1">
                  <c:v>39022</c:v>
                </c:pt>
                <c:pt idx="2">
                  <c:v>39052</c:v>
                </c:pt>
                <c:pt idx="3">
                  <c:v>39083</c:v>
                </c:pt>
                <c:pt idx="4">
                  <c:v>39114</c:v>
                </c:pt>
                <c:pt idx="5">
                  <c:v>39142</c:v>
                </c:pt>
                <c:pt idx="6">
                  <c:v>39173</c:v>
                </c:pt>
                <c:pt idx="7">
                  <c:v>39203</c:v>
                </c:pt>
                <c:pt idx="8">
                  <c:v>39234</c:v>
                </c:pt>
                <c:pt idx="9">
                  <c:v>39264</c:v>
                </c:pt>
                <c:pt idx="10">
                  <c:v>39295</c:v>
                </c:pt>
                <c:pt idx="11">
                  <c:v>39326</c:v>
                </c:pt>
                <c:pt idx="12">
                  <c:v>39356</c:v>
                </c:pt>
                <c:pt idx="13">
                  <c:v>39387</c:v>
                </c:pt>
                <c:pt idx="14">
                  <c:v>39417</c:v>
                </c:pt>
                <c:pt idx="15">
                  <c:v>39448</c:v>
                </c:pt>
                <c:pt idx="16">
                  <c:v>39479</c:v>
                </c:pt>
                <c:pt idx="17">
                  <c:v>39508</c:v>
                </c:pt>
                <c:pt idx="18">
                  <c:v>39539</c:v>
                </c:pt>
                <c:pt idx="19">
                  <c:v>39569</c:v>
                </c:pt>
                <c:pt idx="20">
                  <c:v>39600</c:v>
                </c:pt>
                <c:pt idx="21">
                  <c:v>39630</c:v>
                </c:pt>
                <c:pt idx="22">
                  <c:v>39661</c:v>
                </c:pt>
                <c:pt idx="23">
                  <c:v>39692</c:v>
                </c:pt>
                <c:pt idx="24">
                  <c:v>39722</c:v>
                </c:pt>
                <c:pt idx="25">
                  <c:v>39753</c:v>
                </c:pt>
                <c:pt idx="26">
                  <c:v>39783</c:v>
                </c:pt>
                <c:pt idx="27">
                  <c:v>39814</c:v>
                </c:pt>
                <c:pt idx="28">
                  <c:v>39845</c:v>
                </c:pt>
                <c:pt idx="29">
                  <c:v>39873</c:v>
                </c:pt>
                <c:pt idx="30">
                  <c:v>39904</c:v>
                </c:pt>
                <c:pt idx="31">
                  <c:v>39934</c:v>
                </c:pt>
                <c:pt idx="32">
                  <c:v>39965</c:v>
                </c:pt>
                <c:pt idx="33">
                  <c:v>39995</c:v>
                </c:pt>
                <c:pt idx="34">
                  <c:v>40026</c:v>
                </c:pt>
                <c:pt idx="35">
                  <c:v>40057</c:v>
                </c:pt>
                <c:pt idx="36">
                  <c:v>40087</c:v>
                </c:pt>
                <c:pt idx="37">
                  <c:v>40118</c:v>
                </c:pt>
                <c:pt idx="38">
                  <c:v>40148</c:v>
                </c:pt>
                <c:pt idx="39">
                  <c:v>40179</c:v>
                </c:pt>
                <c:pt idx="40">
                  <c:v>40210</c:v>
                </c:pt>
                <c:pt idx="41">
                  <c:v>40238</c:v>
                </c:pt>
                <c:pt idx="42">
                  <c:v>40269</c:v>
                </c:pt>
                <c:pt idx="43">
                  <c:v>40299</c:v>
                </c:pt>
                <c:pt idx="44">
                  <c:v>40330</c:v>
                </c:pt>
                <c:pt idx="45">
                  <c:v>40360</c:v>
                </c:pt>
                <c:pt idx="46">
                  <c:v>40391</c:v>
                </c:pt>
                <c:pt idx="47">
                  <c:v>40422</c:v>
                </c:pt>
                <c:pt idx="48">
                  <c:v>40452</c:v>
                </c:pt>
                <c:pt idx="49">
                  <c:v>40483</c:v>
                </c:pt>
                <c:pt idx="50">
                  <c:v>40513</c:v>
                </c:pt>
                <c:pt idx="51">
                  <c:v>40544</c:v>
                </c:pt>
                <c:pt idx="52">
                  <c:v>40575</c:v>
                </c:pt>
                <c:pt idx="53">
                  <c:v>40603</c:v>
                </c:pt>
                <c:pt idx="54">
                  <c:v>40634</c:v>
                </c:pt>
                <c:pt idx="55">
                  <c:v>40664</c:v>
                </c:pt>
                <c:pt idx="56">
                  <c:v>40695</c:v>
                </c:pt>
                <c:pt idx="57">
                  <c:v>40725</c:v>
                </c:pt>
                <c:pt idx="58">
                  <c:v>40756</c:v>
                </c:pt>
                <c:pt idx="59">
                  <c:v>40787</c:v>
                </c:pt>
                <c:pt idx="60">
                  <c:v>40817</c:v>
                </c:pt>
                <c:pt idx="61">
                  <c:v>40848</c:v>
                </c:pt>
                <c:pt idx="62">
                  <c:v>40878</c:v>
                </c:pt>
                <c:pt idx="63">
                  <c:v>40909</c:v>
                </c:pt>
                <c:pt idx="64">
                  <c:v>40940</c:v>
                </c:pt>
                <c:pt idx="65">
                  <c:v>40969</c:v>
                </c:pt>
                <c:pt idx="66">
                  <c:v>41000</c:v>
                </c:pt>
                <c:pt idx="67">
                  <c:v>41030</c:v>
                </c:pt>
                <c:pt idx="68">
                  <c:v>41061</c:v>
                </c:pt>
                <c:pt idx="69">
                  <c:v>41091</c:v>
                </c:pt>
                <c:pt idx="70">
                  <c:v>41122</c:v>
                </c:pt>
                <c:pt idx="71">
                  <c:v>41153</c:v>
                </c:pt>
                <c:pt idx="72">
                  <c:v>41183</c:v>
                </c:pt>
                <c:pt idx="73">
                  <c:v>41214</c:v>
                </c:pt>
                <c:pt idx="74">
                  <c:v>41244</c:v>
                </c:pt>
                <c:pt idx="75">
                  <c:v>41275</c:v>
                </c:pt>
                <c:pt idx="76">
                  <c:v>41306</c:v>
                </c:pt>
                <c:pt idx="77">
                  <c:v>41334</c:v>
                </c:pt>
                <c:pt idx="78">
                  <c:v>41365</c:v>
                </c:pt>
                <c:pt idx="79">
                  <c:v>41395</c:v>
                </c:pt>
                <c:pt idx="80">
                  <c:v>41426</c:v>
                </c:pt>
                <c:pt idx="81">
                  <c:v>41456</c:v>
                </c:pt>
                <c:pt idx="82">
                  <c:v>41487</c:v>
                </c:pt>
                <c:pt idx="83">
                  <c:v>41518</c:v>
                </c:pt>
                <c:pt idx="84">
                  <c:v>41548</c:v>
                </c:pt>
                <c:pt idx="85">
                  <c:v>41579</c:v>
                </c:pt>
                <c:pt idx="86">
                  <c:v>41609</c:v>
                </c:pt>
                <c:pt idx="87">
                  <c:v>41640</c:v>
                </c:pt>
                <c:pt idx="88">
                  <c:v>41671</c:v>
                </c:pt>
                <c:pt idx="89">
                  <c:v>41699</c:v>
                </c:pt>
                <c:pt idx="90">
                  <c:v>41730</c:v>
                </c:pt>
                <c:pt idx="91">
                  <c:v>41760</c:v>
                </c:pt>
                <c:pt idx="92">
                  <c:v>41791</c:v>
                </c:pt>
                <c:pt idx="93">
                  <c:v>41821</c:v>
                </c:pt>
              </c:numCache>
            </c:numRef>
          </c:cat>
          <c:val>
            <c:numRef>
              <c:f>Time!$W$171:$DL$171</c:f>
              <c:numCache>
                <c:formatCode>0.0</c:formatCode>
                <c:ptCount val="9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0.41004599999999997</c:v>
                </c:pt>
                <c:pt idx="36">
                  <c:v>0.41004599999999997</c:v>
                </c:pt>
                <c:pt idx="37">
                  <c:v>0.41004599999999997</c:v>
                </c:pt>
                <c:pt idx="38">
                  <c:v>0.41004599999999997</c:v>
                </c:pt>
                <c:pt idx="39">
                  <c:v>0.41004599999999997</c:v>
                </c:pt>
                <c:pt idx="40">
                  <c:v>0.41004599999999997</c:v>
                </c:pt>
                <c:pt idx="41">
                  <c:v>0.41004599999999997</c:v>
                </c:pt>
                <c:pt idx="42">
                  <c:v>0.41004599999999997</c:v>
                </c:pt>
                <c:pt idx="43">
                  <c:v>0.41004599999999997</c:v>
                </c:pt>
                <c:pt idx="44">
                  <c:v>0.41004599999999997</c:v>
                </c:pt>
                <c:pt idx="45">
                  <c:v>0.41004599999999997</c:v>
                </c:pt>
                <c:pt idx="46">
                  <c:v>0.41004599999999997</c:v>
                </c:pt>
                <c:pt idx="47">
                  <c:v>0.41004599999999997</c:v>
                </c:pt>
                <c:pt idx="48">
                  <c:v>0.41004599999999997</c:v>
                </c:pt>
                <c:pt idx="49">
                  <c:v>0.41004599999999997</c:v>
                </c:pt>
                <c:pt idx="50">
                  <c:v>0.41004599999999997</c:v>
                </c:pt>
                <c:pt idx="51">
                  <c:v>0.41004599999999997</c:v>
                </c:pt>
                <c:pt idx="52">
                  <c:v>0.41004599999999997</c:v>
                </c:pt>
                <c:pt idx="53">
                  <c:v>0.41004599999999997</c:v>
                </c:pt>
                <c:pt idx="54">
                  <c:v>0.41004599999999997</c:v>
                </c:pt>
                <c:pt idx="55">
                  <c:v>0.41004599999999997</c:v>
                </c:pt>
                <c:pt idx="56">
                  <c:v>0.41004599999999997</c:v>
                </c:pt>
                <c:pt idx="57">
                  <c:v>0.41004599999999997</c:v>
                </c:pt>
                <c:pt idx="58">
                  <c:v>0.41004599999999997</c:v>
                </c:pt>
                <c:pt idx="59">
                  <c:v>0.41004599999999997</c:v>
                </c:pt>
                <c:pt idx="60">
                  <c:v>0.41004599999999997</c:v>
                </c:pt>
                <c:pt idx="61">
                  <c:v>0.41004599999999997</c:v>
                </c:pt>
                <c:pt idx="62">
                  <c:v>0.41004599999999997</c:v>
                </c:pt>
                <c:pt idx="63">
                  <c:v>0.97061500000000001</c:v>
                </c:pt>
                <c:pt idx="64">
                  <c:v>0.97061500000000001</c:v>
                </c:pt>
                <c:pt idx="65">
                  <c:v>0.97061500000000001</c:v>
                </c:pt>
                <c:pt idx="66">
                  <c:v>0.97061500000000001</c:v>
                </c:pt>
                <c:pt idx="67">
                  <c:v>0.97061500000000001</c:v>
                </c:pt>
                <c:pt idx="68">
                  <c:v>0.97061500000000001</c:v>
                </c:pt>
                <c:pt idx="69">
                  <c:v>2.739509</c:v>
                </c:pt>
                <c:pt idx="70">
                  <c:v>2.739509</c:v>
                </c:pt>
                <c:pt idx="71">
                  <c:v>2.739509</c:v>
                </c:pt>
                <c:pt idx="72">
                  <c:v>2.739509</c:v>
                </c:pt>
                <c:pt idx="73">
                  <c:v>2.739509</c:v>
                </c:pt>
                <c:pt idx="74">
                  <c:v>2.739509</c:v>
                </c:pt>
                <c:pt idx="75">
                  <c:v>2.739509</c:v>
                </c:pt>
                <c:pt idx="76">
                  <c:v>2.739509</c:v>
                </c:pt>
                <c:pt idx="77">
                  <c:v>2.739509</c:v>
                </c:pt>
                <c:pt idx="78">
                  <c:v>2.739509</c:v>
                </c:pt>
                <c:pt idx="79">
                  <c:v>2.739509</c:v>
                </c:pt>
                <c:pt idx="80">
                  <c:v>2.739509</c:v>
                </c:pt>
                <c:pt idx="81">
                  <c:v>2.739509</c:v>
                </c:pt>
                <c:pt idx="82">
                  <c:v>2.739509</c:v>
                </c:pt>
                <c:pt idx="83">
                  <c:v>2.739509</c:v>
                </c:pt>
                <c:pt idx="84">
                  <c:v>2.739509</c:v>
                </c:pt>
                <c:pt idx="85">
                  <c:v>2.739509</c:v>
                </c:pt>
                <c:pt idx="86">
                  <c:v>2.739509</c:v>
                </c:pt>
                <c:pt idx="87">
                  <c:v>2.739509</c:v>
                </c:pt>
                <c:pt idx="88">
                  <c:v>2.739509</c:v>
                </c:pt>
                <c:pt idx="89">
                  <c:v>2.739509</c:v>
                </c:pt>
                <c:pt idx="90">
                  <c:v>2.739509</c:v>
                </c:pt>
                <c:pt idx="91">
                  <c:v>2.739509</c:v>
                </c:pt>
                <c:pt idx="92">
                  <c:v>2.739509</c:v>
                </c:pt>
                <c:pt idx="93">
                  <c:v>2.739509</c:v>
                </c:pt>
              </c:numCache>
            </c:numRef>
          </c:val>
        </c:ser>
        <c:dLbls>
          <c:showLegendKey val="0"/>
          <c:showVal val="0"/>
          <c:showCatName val="0"/>
          <c:showSerName val="0"/>
          <c:showPercent val="0"/>
          <c:showBubbleSize val="0"/>
        </c:dLbls>
        <c:axId val="96421376"/>
        <c:axId val="96422912"/>
      </c:areaChart>
      <c:dateAx>
        <c:axId val="96421376"/>
        <c:scaling>
          <c:orientation val="minMax"/>
        </c:scaling>
        <c:delete val="0"/>
        <c:axPos val="b"/>
        <c:numFmt formatCode="mmm/yy" sourceLinked="0"/>
        <c:majorTickMark val="out"/>
        <c:minorTickMark val="none"/>
        <c:tickLblPos val="nextTo"/>
        <c:spPr>
          <a:ln w="3175">
            <a:solidFill>
              <a:srgbClr val="000000"/>
            </a:solidFill>
            <a:prstDash val="solid"/>
          </a:ln>
        </c:spPr>
        <c:txPr>
          <a:bodyPr rot="-5400000" vert="horz"/>
          <a:lstStyle/>
          <a:p>
            <a:pPr>
              <a:defRPr sz="925" b="0" i="0" u="none" strike="noStrike" baseline="0">
                <a:solidFill>
                  <a:srgbClr val="000000"/>
                </a:solidFill>
                <a:latin typeface="Arial"/>
                <a:ea typeface="Arial"/>
                <a:cs typeface="Arial"/>
              </a:defRPr>
            </a:pPr>
            <a:endParaRPr lang="en-US"/>
          </a:p>
        </c:txPr>
        <c:crossAx val="96422912"/>
        <c:crosses val="autoZero"/>
        <c:auto val="1"/>
        <c:lblOffset val="100"/>
        <c:baseTimeUnit val="months"/>
        <c:majorUnit val="3"/>
        <c:majorTimeUnit val="months"/>
        <c:minorUnit val="3"/>
        <c:minorTimeUnit val="months"/>
      </c:dateAx>
      <c:valAx>
        <c:axId val="96422912"/>
        <c:scaling>
          <c:orientation val="minMax"/>
          <c:max val="1400"/>
        </c:scaling>
        <c:delete val="0"/>
        <c:axPos val="l"/>
        <c:majorGridlines>
          <c:spPr>
            <a:ln w="3175">
              <a:solidFill>
                <a:srgbClr val="000000"/>
              </a:solidFill>
              <a:prstDash val="solid"/>
            </a:ln>
          </c:spPr>
        </c:majorGridlines>
        <c:title>
          <c:tx>
            <c:rich>
              <a:bodyPr/>
              <a:lstStyle/>
              <a:p>
                <a:pPr>
                  <a:defRPr sz="1025" b="1" i="0" u="none" strike="noStrike" baseline="0">
                    <a:solidFill>
                      <a:srgbClr val="000000"/>
                    </a:solidFill>
                    <a:latin typeface="Arial"/>
                    <a:ea typeface="Arial"/>
                    <a:cs typeface="Arial"/>
                  </a:defRPr>
                </a:pPr>
                <a:r>
                  <a:rPr lang="en-US"/>
                  <a:t>Million ERUs</a:t>
                </a:r>
              </a:p>
            </c:rich>
          </c:tx>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96421376"/>
        <c:crosses val="autoZero"/>
        <c:crossBetween val="midCat"/>
        <c:majorUnit val="100"/>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88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25" b="1" i="0" u="none" strike="noStrike" baseline="0">
                <a:solidFill>
                  <a:srgbClr val="000000"/>
                </a:solidFill>
                <a:latin typeface="Arial"/>
                <a:ea typeface="Arial"/>
                <a:cs typeface="Arial"/>
              </a:defRPr>
            </a:pPr>
            <a:r>
              <a:rPr lang="en-US"/>
              <a:t>Number (%) of projects in each category</a:t>
            </a:r>
          </a:p>
        </c:rich>
      </c:tx>
      <c:layout>
        <c:manualLayout>
          <c:xMode val="edge"/>
          <c:yMode val="edge"/>
          <c:x val="0.19980243169823494"/>
          <c:y val="3.4950309177454592E-2"/>
        </c:manualLayout>
      </c:layout>
      <c:overlay val="0"/>
      <c:spPr>
        <a:noFill/>
        <a:ln w="25400">
          <a:noFill/>
        </a:ln>
      </c:spPr>
    </c:title>
    <c:autoTitleDeleted val="0"/>
    <c:plotArea>
      <c:layout>
        <c:manualLayout>
          <c:layoutTarget val="inner"/>
          <c:xMode val="edge"/>
          <c:yMode val="edge"/>
          <c:x val="0.34434028844477288"/>
          <c:y val="0.40034007062050481"/>
          <c:w val="0.26782022434593838"/>
          <c:h val="0.40034007062050481"/>
        </c:manualLayout>
      </c:layout>
      <c:pieChart>
        <c:varyColors val="1"/>
        <c:ser>
          <c:idx val="0"/>
          <c:order val="0"/>
          <c:spPr>
            <a:solidFill>
              <a:srgbClr val="9999FF"/>
            </a:solidFill>
            <a:ln w="12700">
              <a:solidFill>
                <a:srgbClr val="000000"/>
              </a:solidFill>
              <a:prstDash val="solid"/>
            </a:ln>
          </c:spPr>
          <c:dPt>
            <c:idx val="0"/>
            <c:bubble3D val="0"/>
            <c:spPr>
              <a:solidFill>
                <a:srgbClr val="000000"/>
              </a:solidFill>
              <a:ln w="12700">
                <a:solidFill>
                  <a:srgbClr val="000000"/>
                </a:solidFill>
                <a:prstDash val="solid"/>
              </a:ln>
            </c:spPr>
          </c:dPt>
          <c:dPt>
            <c:idx val="1"/>
            <c:bubble3D val="0"/>
            <c:spPr>
              <a:solidFill>
                <a:srgbClr val="FF0000"/>
              </a:solidFill>
              <a:ln w="12700">
                <a:solidFill>
                  <a:srgbClr val="000000"/>
                </a:solidFill>
                <a:prstDash val="solid"/>
              </a:ln>
            </c:spPr>
          </c:dPt>
          <c:dPt>
            <c:idx val="2"/>
            <c:bubble3D val="0"/>
            <c:spPr>
              <a:solidFill>
                <a:srgbClr val="0000FF"/>
              </a:solidFill>
              <a:ln w="12700">
                <a:solidFill>
                  <a:srgbClr val="000000"/>
                </a:solidFill>
                <a:prstDash val="solid"/>
              </a:ln>
            </c:spPr>
          </c:dPt>
          <c:dPt>
            <c:idx val="3"/>
            <c:bubble3D val="0"/>
            <c:spPr>
              <a:solidFill>
                <a:srgbClr val="FFFF00"/>
              </a:solidFill>
              <a:ln w="12700">
                <a:solidFill>
                  <a:srgbClr val="000000"/>
                </a:solidFill>
                <a:prstDash val="solid"/>
              </a:ln>
            </c:spPr>
          </c:dPt>
          <c:dPt>
            <c:idx val="4"/>
            <c:bubble3D val="0"/>
            <c:spPr>
              <a:solidFill>
                <a:srgbClr val="99CC00"/>
              </a:solidFill>
              <a:ln w="12700">
                <a:solidFill>
                  <a:srgbClr val="000000"/>
                </a:solidFill>
                <a:prstDash val="solid"/>
              </a:ln>
            </c:spPr>
          </c:dPt>
          <c:dPt>
            <c:idx val="5"/>
            <c:bubble3D val="0"/>
            <c:spPr>
              <a:solidFill>
                <a:srgbClr val="993300"/>
              </a:solidFill>
              <a:ln w="12700">
                <a:solidFill>
                  <a:srgbClr val="000000"/>
                </a:solidFill>
                <a:prstDash val="solid"/>
              </a:ln>
            </c:spPr>
          </c:dPt>
          <c:dLbls>
            <c:dLbl>
              <c:idx val="0"/>
              <c:layout>
                <c:manualLayout>
                  <c:x val="0.17905133525024094"/>
                  <c:y val="7.1265624982850134E-3"/>
                </c:manualLayout>
              </c:layout>
              <c:dLblPos val="bestFit"/>
              <c:showLegendKey val="0"/>
              <c:showVal val="0"/>
              <c:showCatName val="1"/>
              <c:showSerName val="0"/>
              <c:showPercent val="1"/>
              <c:showBubbleSize val="0"/>
            </c:dLbl>
            <c:dLbl>
              <c:idx val="1"/>
              <c:layout>
                <c:manualLayout>
                  <c:x val="7.7948942413877051E-2"/>
                  <c:y val="8.6359505350647264E-2"/>
                </c:manualLayout>
              </c:layout>
              <c:dLblPos val="bestFit"/>
              <c:showLegendKey val="0"/>
              <c:showVal val="0"/>
              <c:showCatName val="1"/>
              <c:showSerName val="0"/>
              <c:showPercent val="1"/>
              <c:showBubbleSize val="0"/>
            </c:dLbl>
            <c:dLbl>
              <c:idx val="2"/>
              <c:layout>
                <c:manualLayout>
                  <c:x val="-3.6931281829877892E-2"/>
                  <c:y val="7.0642308482067465E-3"/>
                </c:manualLayout>
              </c:layout>
              <c:dLblPos val="bestFit"/>
              <c:showLegendKey val="0"/>
              <c:showVal val="0"/>
              <c:showCatName val="1"/>
              <c:showSerName val="0"/>
              <c:showPercent val="1"/>
              <c:showBubbleSize val="0"/>
            </c:dLbl>
            <c:dLbl>
              <c:idx val="3"/>
              <c:layout>
                <c:manualLayout>
                  <c:x val="-0.13498243517693181"/>
                  <c:y val="5.4028248480733412E-2"/>
                </c:manualLayout>
              </c:layout>
              <c:dLblPos val="bestFit"/>
              <c:showLegendKey val="0"/>
              <c:showVal val="0"/>
              <c:showCatName val="1"/>
              <c:showSerName val="0"/>
              <c:showPercent val="1"/>
              <c:showBubbleSize val="0"/>
            </c:dLbl>
            <c:dLbl>
              <c:idx val="4"/>
              <c:layout>
                <c:manualLayout>
                  <c:x val="-0.15632456335896333"/>
                  <c:y val="-8.9001127774403846E-2"/>
                </c:manualLayout>
              </c:layout>
              <c:dLblPos val="bestFit"/>
              <c:showLegendKey val="0"/>
              <c:showVal val="0"/>
              <c:showCatName val="1"/>
              <c:showSerName val="0"/>
              <c:showPercent val="1"/>
              <c:showBubbleSize val="0"/>
            </c:dLbl>
            <c:dLbl>
              <c:idx val="5"/>
              <c:layout>
                <c:manualLayout>
                  <c:x val="7.237263464338467E-2"/>
                  <c:y val="-7.7439111685318723E-2"/>
                </c:manualLayout>
              </c:layout>
              <c:dLblPos val="bestFit"/>
              <c:showLegendKey val="0"/>
              <c:showVal val="0"/>
              <c:showCatName val="1"/>
              <c:showSerName val="0"/>
              <c:showPercent val="1"/>
              <c:showBubbleSize val="0"/>
            </c:dLbl>
            <c:numFmt formatCode="0.0%" sourceLinked="0"/>
            <c:spPr>
              <a:noFill/>
              <a:ln w="25400">
                <a:noFill/>
              </a:ln>
            </c:spPr>
            <c:txPr>
              <a:bodyPr/>
              <a:lstStyle/>
              <a:p>
                <a:pPr>
                  <a:defRPr sz="925" b="0" i="0" u="none" strike="noStrike" baseline="0">
                    <a:solidFill>
                      <a:srgbClr val="000000"/>
                    </a:solidFill>
                    <a:latin typeface="Arial"/>
                    <a:ea typeface="Arial"/>
                    <a:cs typeface="Arial"/>
                  </a:defRPr>
                </a:pPr>
                <a:endParaRPr lang="en-US"/>
              </a:p>
            </c:txPr>
            <c:showLegendKey val="0"/>
            <c:showVal val="0"/>
            <c:showCatName val="1"/>
            <c:showSerName val="0"/>
            <c:showPercent val="1"/>
            <c:showBubbleSize val="0"/>
            <c:showLeaderLines val="1"/>
          </c:dLbls>
          <c:cat>
            <c:strRef>
              <c:f>Analysis!$W$43:$W$48</c:f>
              <c:strCache>
                <c:ptCount val="6"/>
                <c:pt idx="0">
                  <c:v>HFCs, PFCs &amp; N2O reduction</c:v>
                </c:pt>
                <c:pt idx="1">
                  <c:v>CH4 reduction &amp; Cement &amp; Coal mine/bed &amp; Fugitive</c:v>
                </c:pt>
                <c:pt idx="2">
                  <c:v>Renewables</c:v>
                </c:pt>
                <c:pt idx="3">
                  <c:v>Energy efficiency</c:v>
                </c:pt>
                <c:pt idx="4">
                  <c:v>Fuel switch</c:v>
                </c:pt>
                <c:pt idx="5">
                  <c:v>Afforestation, Reforestation &amp; Avoided deforestation</c:v>
                </c:pt>
              </c:strCache>
            </c:strRef>
          </c:cat>
          <c:val>
            <c:numRef>
              <c:f>Analysis!$Y$43:$Y$48</c:f>
              <c:numCache>
                <c:formatCode>0%</c:formatCode>
                <c:ptCount val="6"/>
                <c:pt idx="0">
                  <c:v>8.8042049934296984E-2</c:v>
                </c:pt>
                <c:pt idx="1">
                  <c:v>0.40210249671484888</c:v>
                </c:pt>
                <c:pt idx="2">
                  <c:v>0.18265440210249673</c:v>
                </c:pt>
                <c:pt idx="3">
                  <c:v>0.29172141918528255</c:v>
                </c:pt>
                <c:pt idx="4">
                  <c:v>3.1537450722733243E-2</c:v>
                </c:pt>
                <c:pt idx="5" formatCode="0.0%">
                  <c:v>3.9421813403416554E-3</c:v>
                </c:pt>
              </c:numCache>
            </c:numRef>
          </c:val>
        </c:ser>
        <c:dLbls>
          <c:showLegendKey val="0"/>
          <c:showVal val="0"/>
          <c:showCatName val="1"/>
          <c:showSerName val="0"/>
          <c:showPercent val="1"/>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25" b="1" i="0" u="none" strike="noStrike" baseline="0">
                <a:solidFill>
                  <a:srgbClr val="000000"/>
                </a:solidFill>
                <a:latin typeface="Arial"/>
                <a:ea typeface="Arial"/>
                <a:cs typeface="Arial"/>
              </a:defRPr>
            </a:pPr>
            <a:r>
              <a:rPr lang="en-US"/>
              <a:t>ERUs until 2012 (%) in each category</a:t>
            </a:r>
          </a:p>
        </c:rich>
      </c:tx>
      <c:layout>
        <c:manualLayout>
          <c:xMode val="edge"/>
          <c:yMode val="edge"/>
          <c:x val="0.22633509272879354"/>
          <c:y val="3.4950309177454592E-2"/>
        </c:manualLayout>
      </c:layout>
      <c:overlay val="0"/>
      <c:spPr>
        <a:noFill/>
        <a:ln w="25400">
          <a:noFill/>
        </a:ln>
      </c:spPr>
    </c:title>
    <c:autoTitleDeleted val="0"/>
    <c:plotArea>
      <c:layout>
        <c:manualLayout>
          <c:layoutTarget val="inner"/>
          <c:xMode val="edge"/>
          <c:yMode val="edge"/>
          <c:x val="0.39501889184529276"/>
          <c:y val="0.40351737276828681"/>
          <c:w val="0.2626341821457468"/>
          <c:h val="0.3908081641772066"/>
        </c:manualLayout>
      </c:layout>
      <c:pieChart>
        <c:varyColors val="1"/>
        <c:ser>
          <c:idx val="0"/>
          <c:order val="0"/>
          <c:spPr>
            <a:solidFill>
              <a:srgbClr val="9999FF"/>
            </a:solidFill>
            <a:ln w="12700">
              <a:solidFill>
                <a:srgbClr val="000000"/>
              </a:solidFill>
              <a:prstDash val="solid"/>
            </a:ln>
          </c:spPr>
          <c:dPt>
            <c:idx val="0"/>
            <c:bubble3D val="0"/>
            <c:spPr>
              <a:solidFill>
                <a:srgbClr val="000000"/>
              </a:solidFill>
              <a:ln w="12700">
                <a:solidFill>
                  <a:srgbClr val="000000"/>
                </a:solidFill>
                <a:prstDash val="solid"/>
              </a:ln>
            </c:spPr>
          </c:dPt>
          <c:dPt>
            <c:idx val="1"/>
            <c:bubble3D val="0"/>
            <c:spPr>
              <a:solidFill>
                <a:srgbClr val="FF0000"/>
              </a:solidFill>
              <a:ln w="12700">
                <a:solidFill>
                  <a:srgbClr val="000000"/>
                </a:solidFill>
                <a:prstDash val="solid"/>
              </a:ln>
            </c:spPr>
          </c:dPt>
          <c:dPt>
            <c:idx val="2"/>
            <c:bubble3D val="0"/>
            <c:spPr>
              <a:solidFill>
                <a:srgbClr val="0000FF"/>
              </a:solidFill>
              <a:ln w="12700">
                <a:solidFill>
                  <a:srgbClr val="000000"/>
                </a:solidFill>
                <a:prstDash val="solid"/>
              </a:ln>
            </c:spPr>
          </c:dPt>
          <c:dPt>
            <c:idx val="3"/>
            <c:bubble3D val="0"/>
            <c:spPr>
              <a:solidFill>
                <a:srgbClr val="FFFF00"/>
              </a:solidFill>
              <a:ln w="12700">
                <a:solidFill>
                  <a:srgbClr val="000000"/>
                </a:solidFill>
                <a:prstDash val="solid"/>
              </a:ln>
            </c:spPr>
          </c:dPt>
          <c:dPt>
            <c:idx val="4"/>
            <c:bubble3D val="0"/>
            <c:spPr>
              <a:solidFill>
                <a:srgbClr val="99CC00"/>
              </a:solidFill>
              <a:ln w="12700">
                <a:solidFill>
                  <a:srgbClr val="000000"/>
                </a:solidFill>
                <a:prstDash val="solid"/>
              </a:ln>
            </c:spPr>
          </c:dPt>
          <c:dPt>
            <c:idx val="5"/>
            <c:bubble3D val="0"/>
            <c:spPr>
              <a:solidFill>
                <a:srgbClr val="FF8080"/>
              </a:solidFill>
              <a:ln w="12700">
                <a:solidFill>
                  <a:srgbClr val="000000"/>
                </a:solidFill>
                <a:prstDash val="solid"/>
              </a:ln>
            </c:spPr>
          </c:dPt>
          <c:dLbls>
            <c:dLbl>
              <c:idx val="0"/>
              <c:layout>
                <c:manualLayout>
                  <c:x val="0.12861550617590226"/>
                  <c:y val="6.8822983568594384E-2"/>
                </c:manualLayout>
              </c:layout>
              <c:dLblPos val="bestFit"/>
              <c:showLegendKey val="0"/>
              <c:showVal val="0"/>
              <c:showCatName val="1"/>
              <c:showSerName val="0"/>
              <c:showPercent val="1"/>
              <c:showBubbleSize val="0"/>
            </c:dLbl>
            <c:dLbl>
              <c:idx val="1"/>
              <c:layout>
                <c:manualLayout>
                  <c:x val="0.14131440806743026"/>
                  <c:y val="-0.11824920997957312"/>
                </c:manualLayout>
              </c:layout>
              <c:dLblPos val="bestFit"/>
              <c:showLegendKey val="0"/>
              <c:showVal val="0"/>
              <c:showCatName val="1"/>
              <c:showSerName val="0"/>
              <c:showPercent val="1"/>
              <c:showBubbleSize val="0"/>
            </c:dLbl>
            <c:dLbl>
              <c:idx val="2"/>
              <c:layout>
                <c:manualLayout>
                  <c:x val="-0.11164686651010725"/>
                  <c:y val="3.794193131623521E-2"/>
                </c:manualLayout>
              </c:layout>
              <c:dLblPos val="bestFit"/>
              <c:showLegendKey val="0"/>
              <c:showVal val="0"/>
              <c:showCatName val="1"/>
              <c:showSerName val="0"/>
              <c:showPercent val="1"/>
              <c:showBubbleSize val="0"/>
            </c:dLbl>
            <c:dLbl>
              <c:idx val="3"/>
              <c:layout>
                <c:manualLayout>
                  <c:x val="-0.16612054159356088"/>
                  <c:y val="5.2441038206262086E-2"/>
                </c:manualLayout>
              </c:layout>
              <c:dLblPos val="bestFit"/>
              <c:showLegendKey val="0"/>
              <c:showVal val="0"/>
              <c:showCatName val="1"/>
              <c:showSerName val="0"/>
              <c:showPercent val="1"/>
              <c:showBubbleSize val="0"/>
            </c:dLbl>
            <c:dLbl>
              <c:idx val="4"/>
              <c:layout>
                <c:manualLayout>
                  <c:x val="-0.12994155877750024"/>
                  <c:y val="-9.6527314435731024E-2"/>
                </c:manualLayout>
              </c:layout>
              <c:dLblPos val="bestFit"/>
              <c:showLegendKey val="0"/>
              <c:showVal val="0"/>
              <c:showCatName val="1"/>
              <c:showSerName val="0"/>
              <c:showPercent val="1"/>
              <c:showBubbleSize val="0"/>
            </c:dLbl>
            <c:dLbl>
              <c:idx val="5"/>
              <c:layout>
                <c:manualLayout>
                  <c:x val="0.14307339871989691"/>
                  <c:y val="-5.1005464671683216E-2"/>
                </c:manualLayout>
              </c:layout>
              <c:dLblPos val="bestFit"/>
              <c:showLegendKey val="0"/>
              <c:showVal val="0"/>
              <c:showCatName val="1"/>
              <c:showSerName val="0"/>
              <c:showPercent val="1"/>
              <c:showBubbleSize val="0"/>
            </c:dLbl>
            <c:numFmt formatCode="0.0%" sourceLinked="0"/>
            <c:spPr>
              <a:noFill/>
              <a:ln w="25400">
                <a:noFill/>
              </a:ln>
            </c:spPr>
            <c:txPr>
              <a:bodyPr/>
              <a:lstStyle/>
              <a:p>
                <a:pPr>
                  <a:defRPr sz="925" b="0" i="0" u="none" strike="noStrike" baseline="0">
                    <a:solidFill>
                      <a:srgbClr val="000000"/>
                    </a:solidFill>
                    <a:latin typeface="Arial"/>
                    <a:ea typeface="Arial"/>
                    <a:cs typeface="Arial"/>
                  </a:defRPr>
                </a:pPr>
                <a:endParaRPr lang="en-US"/>
              </a:p>
            </c:txPr>
            <c:showLegendKey val="0"/>
            <c:showVal val="0"/>
            <c:showCatName val="1"/>
            <c:showSerName val="0"/>
            <c:showPercent val="1"/>
            <c:showBubbleSize val="0"/>
            <c:showLeaderLines val="1"/>
          </c:dLbls>
          <c:cat>
            <c:strRef>
              <c:f>Analysis!$W$43:$W$48</c:f>
              <c:strCache>
                <c:ptCount val="6"/>
                <c:pt idx="0">
                  <c:v>HFCs, PFCs &amp; N2O reduction</c:v>
                </c:pt>
                <c:pt idx="1">
                  <c:v>CH4 reduction &amp; Cement &amp; Coal mine/bed &amp; Fugitive</c:v>
                </c:pt>
                <c:pt idx="2">
                  <c:v>Renewables</c:v>
                </c:pt>
                <c:pt idx="3">
                  <c:v>Energy efficiency</c:v>
                </c:pt>
                <c:pt idx="4">
                  <c:v>Fuel switch</c:v>
                </c:pt>
                <c:pt idx="5">
                  <c:v>Afforestation, Reforestation &amp; Avoided deforestation</c:v>
                </c:pt>
              </c:strCache>
            </c:strRef>
          </c:cat>
          <c:val>
            <c:numRef>
              <c:f>Analysis!$AC$43:$AC$48</c:f>
              <c:numCache>
                <c:formatCode>0%</c:formatCode>
                <c:ptCount val="6"/>
                <c:pt idx="0">
                  <c:v>0.1305849443973679</c:v>
                </c:pt>
                <c:pt idx="1">
                  <c:v>0.53760227196461796</c:v>
                </c:pt>
                <c:pt idx="2">
                  <c:v>3.6053242513707194E-2</c:v>
                </c:pt>
                <c:pt idx="3">
                  <c:v>0.26350194274823152</c:v>
                </c:pt>
                <c:pt idx="4">
                  <c:v>3.0250520844982785E-2</c:v>
                </c:pt>
                <c:pt idx="5" formatCode="0.0%">
                  <c:v>2.0070775310926342E-3</c:v>
                </c:pt>
              </c:numCache>
            </c:numRef>
          </c:val>
        </c:ser>
        <c:dLbls>
          <c:showLegendKey val="0"/>
          <c:showVal val="0"/>
          <c:showCatName val="1"/>
          <c:showSerName val="0"/>
          <c:showPercent val="1"/>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Number of JI projects</a:t>
            </a:r>
          </a:p>
        </c:rich>
      </c:tx>
      <c:layout>
        <c:manualLayout>
          <c:xMode val="edge"/>
          <c:yMode val="edge"/>
          <c:x val="0.38806949862529388"/>
          <c:y val="3.3278044386463611E-2"/>
        </c:manualLayout>
      </c:layout>
      <c:overlay val="0"/>
      <c:spPr>
        <a:noFill/>
        <a:ln w="25400">
          <a:noFill/>
        </a:ln>
      </c:spPr>
    </c:title>
    <c:autoTitleDeleted val="0"/>
    <c:plotArea>
      <c:layout>
        <c:manualLayout>
          <c:layoutTarget val="inner"/>
          <c:xMode val="edge"/>
          <c:yMode val="edge"/>
          <c:x val="8.5056309658127563E-2"/>
          <c:y val="0.19412111987954087"/>
          <c:w val="0.84701908367891265"/>
          <c:h val="0.43815909915668338"/>
        </c:manualLayout>
      </c:layout>
      <c:barChart>
        <c:barDir val="col"/>
        <c:grouping val="clustered"/>
        <c:varyColors val="0"/>
        <c:ser>
          <c:idx val="1"/>
          <c:order val="0"/>
          <c:tx>
            <c:v>Track 2</c:v>
          </c:tx>
          <c:spPr>
            <a:solidFill>
              <a:srgbClr val="0000FF"/>
            </a:solidFill>
            <a:ln w="12700">
              <a:solidFill>
                <a:srgbClr val="000000"/>
              </a:solidFill>
              <a:prstDash val="solid"/>
            </a:ln>
          </c:spPr>
          <c:invertIfNegative val="0"/>
          <c:cat>
            <c:strRef>
              <c:f>(Analysis!$A$196:$A$197,Analysis!$A$199:$A$207,Analysis!$A$210:$A$216)</c:f>
              <c:strCache>
                <c:ptCount val="18"/>
                <c:pt idx="0">
                  <c:v>Russia</c:v>
                </c:pt>
                <c:pt idx="1">
                  <c:v>Ukraine</c:v>
                </c:pt>
                <c:pt idx="2">
                  <c:v>Bulgaria</c:v>
                </c:pt>
                <c:pt idx="3">
                  <c:v>Czech Republic </c:v>
                </c:pt>
                <c:pt idx="4">
                  <c:v>Romania</c:v>
                </c:pt>
                <c:pt idx="5">
                  <c:v>Poland</c:v>
                </c:pt>
                <c:pt idx="6">
                  <c:v>Hungary</c:v>
                </c:pt>
                <c:pt idx="7">
                  <c:v>Estonia </c:v>
                </c:pt>
                <c:pt idx="8">
                  <c:v>Latvia</c:v>
                </c:pt>
                <c:pt idx="9">
                  <c:v>Lithuania</c:v>
                </c:pt>
                <c:pt idx="10">
                  <c:v>Slovakia</c:v>
                </c:pt>
                <c:pt idx="11">
                  <c:v>Germany</c:v>
                </c:pt>
                <c:pt idx="12">
                  <c:v>Finland</c:v>
                </c:pt>
                <c:pt idx="13">
                  <c:v>France</c:v>
                </c:pt>
                <c:pt idx="14">
                  <c:v>Greece</c:v>
                </c:pt>
                <c:pt idx="15">
                  <c:v>Spain</c:v>
                </c:pt>
                <c:pt idx="16">
                  <c:v>Sweden</c:v>
                </c:pt>
                <c:pt idx="17">
                  <c:v>New Zealand</c:v>
                </c:pt>
              </c:strCache>
            </c:strRef>
          </c:cat>
          <c:val>
            <c:numRef>
              <c:f>(Analysis!$H$196:$H$197,Analysis!$H$199:$H$207,Analysis!$H$210:$H$216)</c:f>
              <c:numCache>
                <c:formatCode>0</c:formatCode>
                <c:ptCount val="18"/>
                <c:pt idx="0">
                  <c:v>182</c:v>
                </c:pt>
                <c:pt idx="1">
                  <c:v>321</c:v>
                </c:pt>
                <c:pt idx="2">
                  <c:v>38</c:v>
                </c:pt>
                <c:pt idx="3">
                  <c:v>59</c:v>
                </c:pt>
                <c:pt idx="4">
                  <c:v>21</c:v>
                </c:pt>
                <c:pt idx="5">
                  <c:v>40</c:v>
                </c:pt>
                <c:pt idx="6">
                  <c:v>13</c:v>
                </c:pt>
                <c:pt idx="7">
                  <c:v>14</c:v>
                </c:pt>
                <c:pt idx="8">
                  <c:v>1</c:v>
                </c:pt>
                <c:pt idx="9">
                  <c:v>20</c:v>
                </c:pt>
                <c:pt idx="10">
                  <c:v>2</c:v>
                </c:pt>
                <c:pt idx="11">
                  <c:v>13</c:v>
                </c:pt>
                <c:pt idx="12">
                  <c:v>3</c:v>
                </c:pt>
                <c:pt idx="13">
                  <c:v>17</c:v>
                </c:pt>
                <c:pt idx="14">
                  <c:v>2</c:v>
                </c:pt>
                <c:pt idx="15">
                  <c:v>3</c:v>
                </c:pt>
                <c:pt idx="16">
                  <c:v>2</c:v>
                </c:pt>
                <c:pt idx="17">
                  <c:v>8</c:v>
                </c:pt>
              </c:numCache>
            </c:numRef>
          </c:val>
        </c:ser>
        <c:dLbls>
          <c:showLegendKey val="0"/>
          <c:showVal val="0"/>
          <c:showCatName val="0"/>
          <c:showSerName val="0"/>
          <c:showPercent val="0"/>
          <c:showBubbleSize val="0"/>
        </c:dLbls>
        <c:gapWidth val="150"/>
        <c:axId val="112805376"/>
        <c:axId val="112806912"/>
      </c:barChart>
      <c:catAx>
        <c:axId val="11280537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25" b="0" i="0" u="none" strike="noStrike" baseline="0">
                <a:solidFill>
                  <a:srgbClr val="000000"/>
                </a:solidFill>
                <a:latin typeface="Arial"/>
                <a:ea typeface="Arial"/>
                <a:cs typeface="Arial"/>
              </a:defRPr>
            </a:pPr>
            <a:endParaRPr lang="en-US"/>
          </a:p>
        </c:txPr>
        <c:crossAx val="112806912"/>
        <c:crosses val="autoZero"/>
        <c:auto val="1"/>
        <c:lblAlgn val="ctr"/>
        <c:lblOffset val="100"/>
        <c:tickLblSkip val="1"/>
        <c:tickMarkSkip val="1"/>
        <c:noMultiLvlLbl val="0"/>
      </c:catAx>
      <c:valAx>
        <c:axId val="112806912"/>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112805376"/>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25" b="1" i="0" u="none" strike="noStrike" baseline="0">
                <a:solidFill>
                  <a:srgbClr val="000000"/>
                </a:solidFill>
                <a:latin typeface="Arial"/>
                <a:ea typeface="Arial"/>
                <a:cs typeface="Arial"/>
              </a:defRPr>
            </a:pPr>
            <a:r>
              <a:rPr lang="en-US"/>
              <a:t>Number of new projects in each quarter</a:t>
            </a:r>
          </a:p>
        </c:rich>
      </c:tx>
      <c:layout>
        <c:manualLayout>
          <c:xMode val="edge"/>
          <c:yMode val="edge"/>
          <c:x val="0.21396590132117646"/>
          <c:y val="3.4823139367640962E-2"/>
        </c:manualLayout>
      </c:layout>
      <c:overlay val="0"/>
      <c:spPr>
        <a:noFill/>
        <a:ln w="25400">
          <a:noFill/>
        </a:ln>
      </c:spPr>
    </c:title>
    <c:autoTitleDeleted val="0"/>
    <c:plotArea>
      <c:layout>
        <c:manualLayout>
          <c:layoutTarget val="inner"/>
          <c:xMode val="edge"/>
          <c:yMode val="edge"/>
          <c:x val="8.7624126883048228E-2"/>
          <c:y val="0.18572278742879841"/>
          <c:w val="0.60725557700350274"/>
          <c:h val="0.65873551166160382"/>
        </c:manualLayout>
      </c:layout>
      <c:areaChart>
        <c:grouping val="stacked"/>
        <c:varyColors val="0"/>
        <c:ser>
          <c:idx val="0"/>
          <c:order val="0"/>
          <c:tx>
            <c:strRef>
              <c:f>Time!$A$29</c:f>
              <c:strCache>
                <c:ptCount val="1"/>
                <c:pt idx="0">
                  <c:v>Russia</c:v>
                </c:pt>
              </c:strCache>
            </c:strRef>
          </c:tx>
          <c:spPr>
            <a:solidFill>
              <a:srgbClr val="0000FF"/>
            </a:solidFill>
            <a:ln w="12700">
              <a:solidFill>
                <a:srgbClr val="000000"/>
              </a:solidFill>
              <a:prstDash val="solid"/>
            </a:ln>
          </c:spPr>
          <c:cat>
            <c:strRef>
              <c:f>Time!$EF$27:$FJ$27</c:f>
              <c:strCache>
                <c:ptCount val="31"/>
                <c:pt idx="0">
                  <c:v>Q4-06</c:v>
                </c:pt>
                <c:pt idx="1">
                  <c:v>Q1-07</c:v>
                </c:pt>
                <c:pt idx="2">
                  <c:v>Q2-07</c:v>
                </c:pt>
                <c:pt idx="3">
                  <c:v>Q3-07</c:v>
                </c:pt>
                <c:pt idx="4">
                  <c:v>Q4-07</c:v>
                </c:pt>
                <c:pt idx="5">
                  <c:v>Q1-08</c:v>
                </c:pt>
                <c:pt idx="6">
                  <c:v>Q2-08</c:v>
                </c:pt>
                <c:pt idx="7">
                  <c:v>Q3-08</c:v>
                </c:pt>
                <c:pt idx="8">
                  <c:v>Q4-08</c:v>
                </c:pt>
                <c:pt idx="9">
                  <c:v>Q1-09</c:v>
                </c:pt>
                <c:pt idx="10">
                  <c:v>Q2-09</c:v>
                </c:pt>
                <c:pt idx="11">
                  <c:v>Q3-09</c:v>
                </c:pt>
                <c:pt idx="12">
                  <c:v>Q4-09</c:v>
                </c:pt>
                <c:pt idx="13">
                  <c:v>Q1-10</c:v>
                </c:pt>
                <c:pt idx="14">
                  <c:v>Q2-10</c:v>
                </c:pt>
                <c:pt idx="15">
                  <c:v>Q3-10</c:v>
                </c:pt>
                <c:pt idx="16">
                  <c:v>Q4-10</c:v>
                </c:pt>
                <c:pt idx="17">
                  <c:v>Q1-11</c:v>
                </c:pt>
                <c:pt idx="18">
                  <c:v>Q2-11</c:v>
                </c:pt>
                <c:pt idx="19">
                  <c:v>Q3-11</c:v>
                </c:pt>
                <c:pt idx="20">
                  <c:v>Q4-11</c:v>
                </c:pt>
                <c:pt idx="21">
                  <c:v>Q1-12</c:v>
                </c:pt>
                <c:pt idx="22">
                  <c:v>Q2-12</c:v>
                </c:pt>
                <c:pt idx="23">
                  <c:v>Q3-12</c:v>
                </c:pt>
                <c:pt idx="24">
                  <c:v>Q4-12</c:v>
                </c:pt>
                <c:pt idx="25">
                  <c:v>Q1-13</c:v>
                </c:pt>
                <c:pt idx="26">
                  <c:v>Q2-13</c:v>
                </c:pt>
                <c:pt idx="27">
                  <c:v>Q3-13</c:v>
                </c:pt>
                <c:pt idx="28">
                  <c:v>Q4-13</c:v>
                </c:pt>
                <c:pt idx="29">
                  <c:v>Q1-14</c:v>
                </c:pt>
                <c:pt idx="30">
                  <c:v>Q2-14</c:v>
                </c:pt>
              </c:strCache>
            </c:strRef>
          </c:cat>
          <c:val>
            <c:numRef>
              <c:f>Time!$EF$29:$FJ$29</c:f>
              <c:numCache>
                <c:formatCode>General</c:formatCode>
                <c:ptCount val="31"/>
                <c:pt idx="0">
                  <c:v>12</c:v>
                </c:pt>
                <c:pt idx="1">
                  <c:v>11</c:v>
                </c:pt>
                <c:pt idx="2">
                  <c:v>8</c:v>
                </c:pt>
                <c:pt idx="3">
                  <c:v>8</c:v>
                </c:pt>
                <c:pt idx="4">
                  <c:v>16</c:v>
                </c:pt>
                <c:pt idx="5">
                  <c:v>17</c:v>
                </c:pt>
                <c:pt idx="6">
                  <c:v>7</c:v>
                </c:pt>
                <c:pt idx="7">
                  <c:v>6</c:v>
                </c:pt>
                <c:pt idx="8">
                  <c:v>6</c:v>
                </c:pt>
                <c:pt idx="9">
                  <c:v>3</c:v>
                </c:pt>
                <c:pt idx="10">
                  <c:v>7</c:v>
                </c:pt>
                <c:pt idx="11">
                  <c:v>5</c:v>
                </c:pt>
                <c:pt idx="12">
                  <c:v>9</c:v>
                </c:pt>
                <c:pt idx="13" formatCode="0">
                  <c:v>5</c:v>
                </c:pt>
                <c:pt idx="14" formatCode="0">
                  <c:v>2</c:v>
                </c:pt>
                <c:pt idx="15" formatCode="0">
                  <c:v>3</c:v>
                </c:pt>
                <c:pt idx="16" formatCode="0">
                  <c:v>4</c:v>
                </c:pt>
                <c:pt idx="17" formatCode="0">
                  <c:v>8</c:v>
                </c:pt>
                <c:pt idx="18" formatCode="0">
                  <c:v>5</c:v>
                </c:pt>
                <c:pt idx="19" formatCode="0">
                  <c:v>5</c:v>
                </c:pt>
                <c:pt idx="20" formatCode="0">
                  <c:v>4</c:v>
                </c:pt>
                <c:pt idx="21" formatCode="0">
                  <c:v>13</c:v>
                </c:pt>
                <c:pt idx="22" formatCode="0">
                  <c:v>6</c:v>
                </c:pt>
                <c:pt idx="23" formatCode="0">
                  <c:v>21</c:v>
                </c:pt>
                <c:pt idx="24" formatCode="0">
                  <c:v>11</c:v>
                </c:pt>
                <c:pt idx="25" formatCode="0">
                  <c:v>0</c:v>
                </c:pt>
                <c:pt idx="26" formatCode="0">
                  <c:v>0</c:v>
                </c:pt>
                <c:pt idx="27" formatCode="0">
                  <c:v>0</c:v>
                </c:pt>
                <c:pt idx="28" formatCode="0">
                  <c:v>0</c:v>
                </c:pt>
                <c:pt idx="29" formatCode="0">
                  <c:v>0</c:v>
                </c:pt>
                <c:pt idx="30" formatCode="0">
                  <c:v>0</c:v>
                </c:pt>
              </c:numCache>
            </c:numRef>
          </c:val>
        </c:ser>
        <c:ser>
          <c:idx val="1"/>
          <c:order val="1"/>
          <c:tx>
            <c:strRef>
              <c:f>Time!$A$30</c:f>
              <c:strCache>
                <c:ptCount val="1"/>
                <c:pt idx="0">
                  <c:v>Ukraine</c:v>
                </c:pt>
              </c:strCache>
            </c:strRef>
          </c:tx>
          <c:spPr>
            <a:solidFill>
              <a:srgbClr val="FFFF00"/>
            </a:solidFill>
            <a:ln w="12700">
              <a:solidFill>
                <a:srgbClr val="000000"/>
              </a:solidFill>
              <a:prstDash val="solid"/>
            </a:ln>
          </c:spPr>
          <c:cat>
            <c:strRef>
              <c:f>Time!$EF$27:$FJ$27</c:f>
              <c:strCache>
                <c:ptCount val="31"/>
                <c:pt idx="0">
                  <c:v>Q4-06</c:v>
                </c:pt>
                <c:pt idx="1">
                  <c:v>Q1-07</c:v>
                </c:pt>
                <c:pt idx="2">
                  <c:v>Q2-07</c:v>
                </c:pt>
                <c:pt idx="3">
                  <c:v>Q3-07</c:v>
                </c:pt>
                <c:pt idx="4">
                  <c:v>Q4-07</c:v>
                </c:pt>
                <c:pt idx="5">
                  <c:v>Q1-08</c:v>
                </c:pt>
                <c:pt idx="6">
                  <c:v>Q2-08</c:v>
                </c:pt>
                <c:pt idx="7">
                  <c:v>Q3-08</c:v>
                </c:pt>
                <c:pt idx="8">
                  <c:v>Q4-08</c:v>
                </c:pt>
                <c:pt idx="9">
                  <c:v>Q1-09</c:v>
                </c:pt>
                <c:pt idx="10">
                  <c:v>Q2-09</c:v>
                </c:pt>
                <c:pt idx="11">
                  <c:v>Q3-09</c:v>
                </c:pt>
                <c:pt idx="12">
                  <c:v>Q4-09</c:v>
                </c:pt>
                <c:pt idx="13">
                  <c:v>Q1-10</c:v>
                </c:pt>
                <c:pt idx="14">
                  <c:v>Q2-10</c:v>
                </c:pt>
                <c:pt idx="15">
                  <c:v>Q3-10</c:v>
                </c:pt>
                <c:pt idx="16">
                  <c:v>Q4-10</c:v>
                </c:pt>
                <c:pt idx="17">
                  <c:v>Q1-11</c:v>
                </c:pt>
                <c:pt idx="18">
                  <c:v>Q2-11</c:v>
                </c:pt>
                <c:pt idx="19">
                  <c:v>Q3-11</c:v>
                </c:pt>
                <c:pt idx="20">
                  <c:v>Q4-11</c:v>
                </c:pt>
                <c:pt idx="21">
                  <c:v>Q1-12</c:v>
                </c:pt>
                <c:pt idx="22">
                  <c:v>Q2-12</c:v>
                </c:pt>
                <c:pt idx="23">
                  <c:v>Q3-12</c:v>
                </c:pt>
                <c:pt idx="24">
                  <c:v>Q4-12</c:v>
                </c:pt>
                <c:pt idx="25">
                  <c:v>Q1-13</c:v>
                </c:pt>
                <c:pt idx="26">
                  <c:v>Q2-13</c:v>
                </c:pt>
                <c:pt idx="27">
                  <c:v>Q3-13</c:v>
                </c:pt>
                <c:pt idx="28">
                  <c:v>Q4-13</c:v>
                </c:pt>
                <c:pt idx="29">
                  <c:v>Q1-14</c:v>
                </c:pt>
                <c:pt idx="30">
                  <c:v>Q2-14</c:v>
                </c:pt>
              </c:strCache>
            </c:strRef>
          </c:cat>
          <c:val>
            <c:numRef>
              <c:f>Time!$EF$30:$FJ$30</c:f>
              <c:numCache>
                <c:formatCode>General</c:formatCode>
                <c:ptCount val="31"/>
                <c:pt idx="0">
                  <c:v>3</c:v>
                </c:pt>
                <c:pt idx="1">
                  <c:v>2</c:v>
                </c:pt>
                <c:pt idx="2">
                  <c:v>3</c:v>
                </c:pt>
                <c:pt idx="3">
                  <c:v>7</c:v>
                </c:pt>
                <c:pt idx="4">
                  <c:v>4</c:v>
                </c:pt>
                <c:pt idx="5">
                  <c:v>2</c:v>
                </c:pt>
                <c:pt idx="6">
                  <c:v>5</c:v>
                </c:pt>
                <c:pt idx="7">
                  <c:v>3</c:v>
                </c:pt>
                <c:pt idx="8">
                  <c:v>1</c:v>
                </c:pt>
                <c:pt idx="9">
                  <c:v>1</c:v>
                </c:pt>
                <c:pt idx="10">
                  <c:v>0</c:v>
                </c:pt>
                <c:pt idx="11">
                  <c:v>4</c:v>
                </c:pt>
                <c:pt idx="12">
                  <c:v>3</c:v>
                </c:pt>
                <c:pt idx="13" formatCode="0">
                  <c:v>7</c:v>
                </c:pt>
                <c:pt idx="14" formatCode="0">
                  <c:v>6</c:v>
                </c:pt>
                <c:pt idx="15" formatCode="0">
                  <c:v>3</c:v>
                </c:pt>
                <c:pt idx="16" formatCode="0">
                  <c:v>7</c:v>
                </c:pt>
                <c:pt idx="17" formatCode="0">
                  <c:v>5</c:v>
                </c:pt>
                <c:pt idx="18" formatCode="0">
                  <c:v>11</c:v>
                </c:pt>
                <c:pt idx="19" formatCode="0">
                  <c:v>27</c:v>
                </c:pt>
                <c:pt idx="20" formatCode="0">
                  <c:v>43</c:v>
                </c:pt>
                <c:pt idx="21" formatCode="0">
                  <c:v>11</c:v>
                </c:pt>
                <c:pt idx="22" formatCode="0">
                  <c:v>8</c:v>
                </c:pt>
                <c:pt idx="23" formatCode="0">
                  <c:v>24</c:v>
                </c:pt>
                <c:pt idx="24" formatCode="0">
                  <c:v>120</c:v>
                </c:pt>
                <c:pt idx="25" formatCode="0">
                  <c:v>4</c:v>
                </c:pt>
                <c:pt idx="26" formatCode="0">
                  <c:v>3</c:v>
                </c:pt>
                <c:pt idx="27" formatCode="0">
                  <c:v>2</c:v>
                </c:pt>
                <c:pt idx="28" formatCode="0">
                  <c:v>2</c:v>
                </c:pt>
                <c:pt idx="29" formatCode="0">
                  <c:v>0</c:v>
                </c:pt>
                <c:pt idx="30" formatCode="0">
                  <c:v>0</c:v>
                </c:pt>
              </c:numCache>
            </c:numRef>
          </c:val>
        </c:ser>
        <c:ser>
          <c:idx val="2"/>
          <c:order val="2"/>
          <c:tx>
            <c:strRef>
              <c:f>Time!$A$31</c:f>
              <c:strCache>
                <c:ptCount val="1"/>
                <c:pt idx="0">
                  <c:v>Eastern Europe</c:v>
                </c:pt>
              </c:strCache>
            </c:strRef>
          </c:tx>
          <c:spPr>
            <a:solidFill>
              <a:srgbClr val="99CC00"/>
            </a:solidFill>
            <a:ln w="12700">
              <a:solidFill>
                <a:srgbClr val="000000"/>
              </a:solidFill>
              <a:prstDash val="solid"/>
            </a:ln>
          </c:spPr>
          <c:cat>
            <c:strRef>
              <c:f>Time!$EF$27:$FJ$27</c:f>
              <c:strCache>
                <c:ptCount val="31"/>
                <c:pt idx="0">
                  <c:v>Q4-06</c:v>
                </c:pt>
                <c:pt idx="1">
                  <c:v>Q1-07</c:v>
                </c:pt>
                <c:pt idx="2">
                  <c:v>Q2-07</c:v>
                </c:pt>
                <c:pt idx="3">
                  <c:v>Q3-07</c:v>
                </c:pt>
                <c:pt idx="4">
                  <c:v>Q4-07</c:v>
                </c:pt>
                <c:pt idx="5">
                  <c:v>Q1-08</c:v>
                </c:pt>
                <c:pt idx="6">
                  <c:v>Q2-08</c:v>
                </c:pt>
                <c:pt idx="7">
                  <c:v>Q3-08</c:v>
                </c:pt>
                <c:pt idx="8">
                  <c:v>Q4-08</c:v>
                </c:pt>
                <c:pt idx="9">
                  <c:v>Q1-09</c:v>
                </c:pt>
                <c:pt idx="10">
                  <c:v>Q2-09</c:v>
                </c:pt>
                <c:pt idx="11">
                  <c:v>Q3-09</c:v>
                </c:pt>
                <c:pt idx="12">
                  <c:v>Q4-09</c:v>
                </c:pt>
                <c:pt idx="13">
                  <c:v>Q1-10</c:v>
                </c:pt>
                <c:pt idx="14">
                  <c:v>Q2-10</c:v>
                </c:pt>
                <c:pt idx="15">
                  <c:v>Q3-10</c:v>
                </c:pt>
                <c:pt idx="16">
                  <c:v>Q4-10</c:v>
                </c:pt>
                <c:pt idx="17">
                  <c:v>Q1-11</c:v>
                </c:pt>
                <c:pt idx="18">
                  <c:v>Q2-11</c:v>
                </c:pt>
                <c:pt idx="19">
                  <c:v>Q3-11</c:v>
                </c:pt>
                <c:pt idx="20">
                  <c:v>Q4-11</c:v>
                </c:pt>
                <c:pt idx="21">
                  <c:v>Q1-12</c:v>
                </c:pt>
                <c:pt idx="22">
                  <c:v>Q2-12</c:v>
                </c:pt>
                <c:pt idx="23">
                  <c:v>Q3-12</c:v>
                </c:pt>
                <c:pt idx="24">
                  <c:v>Q4-12</c:v>
                </c:pt>
                <c:pt idx="25">
                  <c:v>Q1-13</c:v>
                </c:pt>
                <c:pt idx="26">
                  <c:v>Q2-13</c:v>
                </c:pt>
                <c:pt idx="27">
                  <c:v>Q3-13</c:v>
                </c:pt>
                <c:pt idx="28">
                  <c:v>Q4-13</c:v>
                </c:pt>
                <c:pt idx="29">
                  <c:v>Q1-14</c:v>
                </c:pt>
                <c:pt idx="30">
                  <c:v>Q2-14</c:v>
                </c:pt>
              </c:strCache>
            </c:strRef>
          </c:cat>
          <c:val>
            <c:numRef>
              <c:f>Time!$EF$31:$FJ$31</c:f>
              <c:numCache>
                <c:formatCode>General</c:formatCode>
                <c:ptCount val="31"/>
                <c:pt idx="0">
                  <c:v>8</c:v>
                </c:pt>
                <c:pt idx="1">
                  <c:v>10</c:v>
                </c:pt>
                <c:pt idx="2">
                  <c:v>5</c:v>
                </c:pt>
                <c:pt idx="3">
                  <c:v>2</c:v>
                </c:pt>
                <c:pt idx="4">
                  <c:v>4</c:v>
                </c:pt>
                <c:pt idx="5">
                  <c:v>3</c:v>
                </c:pt>
                <c:pt idx="6">
                  <c:v>5</c:v>
                </c:pt>
                <c:pt idx="7">
                  <c:v>11</c:v>
                </c:pt>
                <c:pt idx="8">
                  <c:v>6</c:v>
                </c:pt>
                <c:pt idx="9">
                  <c:v>2</c:v>
                </c:pt>
                <c:pt idx="10">
                  <c:v>2</c:v>
                </c:pt>
                <c:pt idx="11">
                  <c:v>31</c:v>
                </c:pt>
                <c:pt idx="12">
                  <c:v>7</c:v>
                </c:pt>
                <c:pt idx="13" formatCode="0">
                  <c:v>28</c:v>
                </c:pt>
                <c:pt idx="14" formatCode="0">
                  <c:v>18</c:v>
                </c:pt>
                <c:pt idx="15" formatCode="0">
                  <c:v>10</c:v>
                </c:pt>
                <c:pt idx="16" formatCode="0">
                  <c:v>11</c:v>
                </c:pt>
                <c:pt idx="17" formatCode="0">
                  <c:v>20</c:v>
                </c:pt>
                <c:pt idx="18" formatCode="0">
                  <c:v>2</c:v>
                </c:pt>
                <c:pt idx="19" formatCode="0">
                  <c:v>1</c:v>
                </c:pt>
                <c:pt idx="20" formatCode="0">
                  <c:v>2</c:v>
                </c:pt>
                <c:pt idx="21" formatCode="0">
                  <c:v>4</c:v>
                </c:pt>
                <c:pt idx="22" formatCode="0">
                  <c:v>1</c:v>
                </c:pt>
                <c:pt idx="23" formatCode="0">
                  <c:v>2</c:v>
                </c:pt>
                <c:pt idx="24" formatCode="0">
                  <c:v>6</c:v>
                </c:pt>
                <c:pt idx="25" formatCode="0">
                  <c:v>13</c:v>
                </c:pt>
                <c:pt idx="26" formatCode="0">
                  <c:v>0</c:v>
                </c:pt>
                <c:pt idx="27" formatCode="0">
                  <c:v>0</c:v>
                </c:pt>
                <c:pt idx="28" formatCode="0">
                  <c:v>0</c:v>
                </c:pt>
                <c:pt idx="29" formatCode="0">
                  <c:v>0</c:v>
                </c:pt>
                <c:pt idx="30" formatCode="0">
                  <c:v>0</c:v>
                </c:pt>
              </c:numCache>
            </c:numRef>
          </c:val>
        </c:ser>
        <c:ser>
          <c:idx val="3"/>
          <c:order val="3"/>
          <c:tx>
            <c:strRef>
              <c:f>Time!$A$41</c:f>
              <c:strCache>
                <c:ptCount val="1"/>
                <c:pt idx="0">
                  <c:v>Others</c:v>
                </c:pt>
              </c:strCache>
            </c:strRef>
          </c:tx>
          <c:spPr>
            <a:solidFill>
              <a:srgbClr val="FF0000"/>
            </a:solidFill>
            <a:ln w="12700">
              <a:solidFill>
                <a:srgbClr val="000000"/>
              </a:solidFill>
              <a:prstDash val="solid"/>
            </a:ln>
          </c:spPr>
          <c:cat>
            <c:strRef>
              <c:f>Time!$EF$27:$FJ$27</c:f>
              <c:strCache>
                <c:ptCount val="31"/>
                <c:pt idx="0">
                  <c:v>Q4-06</c:v>
                </c:pt>
                <c:pt idx="1">
                  <c:v>Q1-07</c:v>
                </c:pt>
                <c:pt idx="2">
                  <c:v>Q2-07</c:v>
                </c:pt>
                <c:pt idx="3">
                  <c:v>Q3-07</c:v>
                </c:pt>
                <c:pt idx="4">
                  <c:v>Q4-07</c:v>
                </c:pt>
                <c:pt idx="5">
                  <c:v>Q1-08</c:v>
                </c:pt>
                <c:pt idx="6">
                  <c:v>Q2-08</c:v>
                </c:pt>
                <c:pt idx="7">
                  <c:v>Q3-08</c:v>
                </c:pt>
                <c:pt idx="8">
                  <c:v>Q4-08</c:v>
                </c:pt>
                <c:pt idx="9">
                  <c:v>Q1-09</c:v>
                </c:pt>
                <c:pt idx="10">
                  <c:v>Q2-09</c:v>
                </c:pt>
                <c:pt idx="11">
                  <c:v>Q3-09</c:v>
                </c:pt>
                <c:pt idx="12">
                  <c:v>Q4-09</c:v>
                </c:pt>
                <c:pt idx="13">
                  <c:v>Q1-10</c:v>
                </c:pt>
                <c:pt idx="14">
                  <c:v>Q2-10</c:v>
                </c:pt>
                <c:pt idx="15">
                  <c:v>Q3-10</c:v>
                </c:pt>
                <c:pt idx="16">
                  <c:v>Q4-10</c:v>
                </c:pt>
                <c:pt idx="17">
                  <c:v>Q1-11</c:v>
                </c:pt>
                <c:pt idx="18">
                  <c:v>Q2-11</c:v>
                </c:pt>
                <c:pt idx="19">
                  <c:v>Q3-11</c:v>
                </c:pt>
                <c:pt idx="20">
                  <c:v>Q4-11</c:v>
                </c:pt>
                <c:pt idx="21">
                  <c:v>Q1-12</c:v>
                </c:pt>
                <c:pt idx="22">
                  <c:v>Q2-12</c:v>
                </c:pt>
                <c:pt idx="23">
                  <c:v>Q3-12</c:v>
                </c:pt>
                <c:pt idx="24">
                  <c:v>Q4-12</c:v>
                </c:pt>
                <c:pt idx="25">
                  <c:v>Q1-13</c:v>
                </c:pt>
                <c:pt idx="26">
                  <c:v>Q2-13</c:v>
                </c:pt>
                <c:pt idx="27">
                  <c:v>Q3-13</c:v>
                </c:pt>
                <c:pt idx="28">
                  <c:v>Q4-13</c:v>
                </c:pt>
                <c:pt idx="29">
                  <c:v>Q1-14</c:v>
                </c:pt>
                <c:pt idx="30">
                  <c:v>Q2-14</c:v>
                </c:pt>
              </c:strCache>
            </c:strRef>
          </c:cat>
          <c:val>
            <c:numRef>
              <c:f>Time!$EF$41:$FJ$41</c:f>
              <c:numCache>
                <c:formatCode>General</c:formatCode>
                <c:ptCount val="31"/>
                <c:pt idx="0">
                  <c:v>0</c:v>
                </c:pt>
                <c:pt idx="1">
                  <c:v>1</c:v>
                </c:pt>
                <c:pt idx="2">
                  <c:v>0</c:v>
                </c:pt>
                <c:pt idx="3">
                  <c:v>0</c:v>
                </c:pt>
                <c:pt idx="4">
                  <c:v>1</c:v>
                </c:pt>
                <c:pt idx="5">
                  <c:v>0</c:v>
                </c:pt>
                <c:pt idx="6">
                  <c:v>2</c:v>
                </c:pt>
                <c:pt idx="7">
                  <c:v>6</c:v>
                </c:pt>
                <c:pt idx="8">
                  <c:v>1</c:v>
                </c:pt>
                <c:pt idx="9">
                  <c:v>2</c:v>
                </c:pt>
                <c:pt idx="10">
                  <c:v>0</c:v>
                </c:pt>
                <c:pt idx="11">
                  <c:v>2</c:v>
                </c:pt>
                <c:pt idx="12">
                  <c:v>0</c:v>
                </c:pt>
                <c:pt idx="13" formatCode="0">
                  <c:v>2</c:v>
                </c:pt>
                <c:pt idx="14" formatCode="0">
                  <c:v>10</c:v>
                </c:pt>
                <c:pt idx="15" formatCode="0">
                  <c:v>10</c:v>
                </c:pt>
                <c:pt idx="16" formatCode="0">
                  <c:v>1</c:v>
                </c:pt>
                <c:pt idx="17" formatCode="0">
                  <c:v>3</c:v>
                </c:pt>
                <c:pt idx="18" formatCode="0">
                  <c:v>1</c:v>
                </c:pt>
                <c:pt idx="19" formatCode="0">
                  <c:v>1</c:v>
                </c:pt>
                <c:pt idx="20" formatCode="0">
                  <c:v>2</c:v>
                </c:pt>
                <c:pt idx="21" formatCode="0">
                  <c:v>0</c:v>
                </c:pt>
                <c:pt idx="22" formatCode="0">
                  <c:v>2</c:v>
                </c:pt>
                <c:pt idx="23" formatCode="0">
                  <c:v>0</c:v>
                </c:pt>
                <c:pt idx="24" formatCode="0">
                  <c:v>0</c:v>
                </c:pt>
                <c:pt idx="25" formatCode="0">
                  <c:v>2</c:v>
                </c:pt>
                <c:pt idx="26" formatCode="0">
                  <c:v>0</c:v>
                </c:pt>
                <c:pt idx="27" formatCode="0">
                  <c:v>0</c:v>
                </c:pt>
                <c:pt idx="28" formatCode="0">
                  <c:v>0</c:v>
                </c:pt>
                <c:pt idx="29" formatCode="0">
                  <c:v>0</c:v>
                </c:pt>
                <c:pt idx="30" formatCode="0">
                  <c:v>0</c:v>
                </c:pt>
              </c:numCache>
            </c:numRef>
          </c:val>
        </c:ser>
        <c:dLbls>
          <c:showLegendKey val="0"/>
          <c:showVal val="0"/>
          <c:showCatName val="0"/>
          <c:showSerName val="0"/>
          <c:showPercent val="0"/>
          <c:showBubbleSize val="0"/>
        </c:dLbls>
        <c:axId val="120412800"/>
        <c:axId val="120414592"/>
      </c:areaChart>
      <c:catAx>
        <c:axId val="120412800"/>
        <c:scaling>
          <c:orientation val="minMax"/>
        </c:scaling>
        <c:delete val="0"/>
        <c:axPos val="b"/>
        <c:numFmt formatCode="0"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20414592"/>
        <c:crosses val="autoZero"/>
        <c:auto val="1"/>
        <c:lblAlgn val="ctr"/>
        <c:lblOffset val="100"/>
        <c:tickLblSkip val="1"/>
        <c:tickMarkSkip val="1"/>
        <c:noMultiLvlLbl val="0"/>
      </c:catAx>
      <c:valAx>
        <c:axId val="12041459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Arial"/>
                <a:ea typeface="Arial"/>
                <a:cs typeface="Arial"/>
              </a:defRPr>
            </a:pPr>
            <a:endParaRPr lang="en-US"/>
          </a:p>
        </c:txPr>
        <c:crossAx val="120412800"/>
        <c:crosses val="autoZero"/>
        <c:crossBetween val="midCat"/>
      </c:valAx>
      <c:spPr>
        <a:solidFill>
          <a:srgbClr val="C0C0C0"/>
        </a:solidFill>
        <a:ln w="12700">
          <a:solidFill>
            <a:srgbClr val="808080"/>
          </a:solidFill>
          <a:prstDash val="solid"/>
        </a:ln>
      </c:spPr>
    </c:plotArea>
    <c:legend>
      <c:legendPos val="r"/>
      <c:legendEntry>
        <c:idx val="0"/>
        <c:txPr>
          <a:bodyPr/>
          <a:lstStyle/>
          <a:p>
            <a:pPr>
              <a:defRPr sz="860" b="0" i="0" u="none" strike="noStrike" baseline="0">
                <a:solidFill>
                  <a:srgbClr val="000000"/>
                </a:solidFill>
                <a:latin typeface="Arial"/>
                <a:ea typeface="Arial"/>
                <a:cs typeface="Arial"/>
              </a:defRPr>
            </a:pPr>
            <a:endParaRPr lang="en-US"/>
          </a:p>
        </c:txPr>
      </c:legendEntry>
      <c:legendEntry>
        <c:idx val="1"/>
        <c:txPr>
          <a:bodyPr/>
          <a:lstStyle/>
          <a:p>
            <a:pPr>
              <a:defRPr sz="860" b="0" i="0" u="none" strike="noStrike" baseline="0">
                <a:solidFill>
                  <a:srgbClr val="000000"/>
                </a:solidFill>
                <a:latin typeface="Arial"/>
                <a:ea typeface="Arial"/>
                <a:cs typeface="Arial"/>
              </a:defRPr>
            </a:pPr>
            <a:endParaRPr lang="en-US"/>
          </a:p>
        </c:txPr>
      </c:legendEntry>
      <c:legendEntry>
        <c:idx val="2"/>
        <c:txPr>
          <a:bodyPr/>
          <a:lstStyle/>
          <a:p>
            <a:pPr>
              <a:defRPr sz="860" b="0" i="0" u="none" strike="noStrike" baseline="0">
                <a:solidFill>
                  <a:srgbClr val="000000"/>
                </a:solidFill>
                <a:latin typeface="Arial"/>
                <a:ea typeface="Arial"/>
                <a:cs typeface="Arial"/>
              </a:defRPr>
            </a:pPr>
            <a:endParaRPr lang="en-US"/>
          </a:p>
        </c:txPr>
      </c:legendEntry>
      <c:legendEntry>
        <c:idx val="3"/>
        <c:txPr>
          <a:bodyPr/>
          <a:lstStyle/>
          <a:p>
            <a:pPr>
              <a:defRPr sz="860" b="0" i="0" u="none" strike="noStrike" baseline="0">
                <a:solidFill>
                  <a:srgbClr val="000000"/>
                </a:solidFill>
                <a:latin typeface="Arial"/>
                <a:ea typeface="Arial"/>
                <a:cs typeface="Arial"/>
              </a:defRPr>
            </a:pPr>
            <a:endParaRPr lang="en-US"/>
          </a:p>
        </c:txPr>
      </c:legendEntry>
      <c:layout>
        <c:manualLayout>
          <c:xMode val="edge"/>
          <c:yMode val="edge"/>
          <c:x val="0.73901007912007965"/>
          <c:y val="0.38523837453862531"/>
          <c:w val="0.24284750475333791"/>
          <c:h val="0.24873658828478171"/>
        </c:manualLayout>
      </c:layout>
      <c:overlay val="0"/>
      <c:spPr>
        <a:solidFill>
          <a:srgbClr val="FFFFFF"/>
        </a:solidFill>
        <a:ln w="3175">
          <a:solidFill>
            <a:srgbClr val="000000"/>
          </a:solidFill>
          <a:prstDash val="solid"/>
        </a:ln>
      </c:spPr>
      <c:txPr>
        <a:bodyPr/>
        <a:lstStyle/>
        <a:p>
          <a:pPr>
            <a:defRPr sz="67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75" b="1" i="0" u="none" strike="noStrike" baseline="0">
                <a:solidFill>
                  <a:srgbClr val="000000"/>
                </a:solidFill>
                <a:latin typeface="Arial"/>
                <a:ea typeface="Arial"/>
                <a:cs typeface="Arial"/>
              </a:defRPr>
            </a:pPr>
            <a:r>
              <a:rPr lang="en-US"/>
              <a:t>Annual expected ERUs from JI projects  (number, %share)</a:t>
            </a:r>
          </a:p>
        </c:rich>
      </c:tx>
      <c:layout>
        <c:manualLayout>
          <c:xMode val="edge"/>
          <c:yMode val="edge"/>
          <c:x val="6.1145249510432667E-2"/>
          <c:y val="6.7926741458202794E-2"/>
        </c:manualLayout>
      </c:layout>
      <c:overlay val="0"/>
      <c:spPr>
        <a:noFill/>
        <a:ln w="25400">
          <a:noFill/>
        </a:ln>
      </c:spPr>
    </c:title>
    <c:autoTitleDeleted val="0"/>
    <c:plotArea>
      <c:layout>
        <c:manualLayout>
          <c:layoutTarget val="inner"/>
          <c:xMode val="edge"/>
          <c:yMode val="edge"/>
          <c:x val="0.25666491091051091"/>
          <c:y val="0.37605375955098058"/>
          <c:w val="0.33664020923773402"/>
          <c:h val="0.50795321252783165"/>
        </c:manualLayout>
      </c:layout>
      <c:pieChart>
        <c:varyColors val="1"/>
        <c:ser>
          <c:idx val="1"/>
          <c:order val="0"/>
          <c:tx>
            <c:v>All</c:v>
          </c:tx>
          <c:spPr>
            <a:solidFill>
              <a:srgbClr val="0000FF"/>
            </a:solidFill>
            <a:ln w="12700">
              <a:solidFill>
                <a:srgbClr val="000000"/>
              </a:solidFill>
              <a:prstDash val="solid"/>
            </a:ln>
          </c:spPr>
          <c:dPt>
            <c:idx val="0"/>
            <c:bubble3D val="0"/>
            <c:spPr>
              <a:solidFill>
                <a:srgbClr val="FF0000"/>
              </a:solidFill>
              <a:ln w="12700">
                <a:solidFill>
                  <a:srgbClr val="000000"/>
                </a:solidFill>
                <a:prstDash val="solid"/>
              </a:ln>
            </c:spPr>
          </c:dPt>
          <c:dPt>
            <c:idx val="1"/>
            <c:bubble3D val="0"/>
            <c:spPr>
              <a:solidFill>
                <a:srgbClr val="00FF00"/>
              </a:solidFill>
              <a:ln w="12700">
                <a:solidFill>
                  <a:srgbClr val="000000"/>
                </a:solidFill>
                <a:prstDash val="solid"/>
              </a:ln>
            </c:spPr>
          </c:dPt>
          <c:dPt>
            <c:idx val="2"/>
            <c:bubble3D val="0"/>
            <c:spPr>
              <a:solidFill>
                <a:srgbClr val="FFFF00"/>
              </a:solidFill>
              <a:ln w="12700">
                <a:solidFill>
                  <a:srgbClr val="000000"/>
                </a:solidFill>
                <a:prstDash val="solid"/>
              </a:ln>
            </c:spPr>
          </c:dPt>
          <c:dPt>
            <c:idx val="3"/>
            <c:bubble3D val="0"/>
            <c:spPr>
              <a:solidFill>
                <a:srgbClr val="000000"/>
              </a:solidFill>
              <a:ln w="12700">
                <a:solidFill>
                  <a:srgbClr val="000000"/>
                </a:solidFill>
                <a:prstDash val="solid"/>
              </a:ln>
            </c:spPr>
          </c:dPt>
          <c:dPt>
            <c:idx val="5"/>
            <c:bubble3D val="0"/>
            <c:spPr>
              <a:solidFill>
                <a:srgbClr val="FF9900"/>
              </a:solidFill>
              <a:ln w="12700">
                <a:solidFill>
                  <a:srgbClr val="000000"/>
                </a:solidFill>
                <a:prstDash val="solid"/>
              </a:ln>
            </c:spPr>
          </c:dPt>
          <c:dPt>
            <c:idx val="6"/>
            <c:bubble3D val="0"/>
            <c:spPr>
              <a:solidFill>
                <a:srgbClr val="FF0000"/>
              </a:solidFill>
              <a:ln w="12700">
                <a:solidFill>
                  <a:srgbClr val="000000"/>
                </a:solidFill>
                <a:prstDash val="solid"/>
              </a:ln>
            </c:spPr>
          </c:dPt>
          <c:dPt>
            <c:idx val="7"/>
            <c:bubble3D val="0"/>
            <c:spPr>
              <a:solidFill>
                <a:srgbClr val="003300"/>
              </a:solidFill>
              <a:ln w="12700">
                <a:solidFill>
                  <a:srgbClr val="000000"/>
                </a:solidFill>
                <a:prstDash val="solid"/>
              </a:ln>
            </c:spPr>
          </c:dPt>
          <c:dPt>
            <c:idx val="8"/>
            <c:bubble3D val="0"/>
            <c:spPr>
              <a:solidFill>
                <a:srgbClr val="FFFF99"/>
              </a:solidFill>
              <a:ln w="12700">
                <a:solidFill>
                  <a:srgbClr val="000000"/>
                </a:solidFill>
                <a:prstDash val="solid"/>
              </a:ln>
            </c:spPr>
          </c:dPt>
          <c:dPt>
            <c:idx val="9"/>
            <c:bubble3D val="0"/>
            <c:spPr>
              <a:solidFill>
                <a:srgbClr val="3366FF"/>
              </a:solidFill>
              <a:ln w="12700">
                <a:solidFill>
                  <a:srgbClr val="000000"/>
                </a:solidFill>
                <a:prstDash val="solid"/>
              </a:ln>
            </c:spPr>
          </c:dPt>
          <c:dPt>
            <c:idx val="11"/>
            <c:bubble3D val="0"/>
            <c:spPr>
              <a:solidFill>
                <a:srgbClr val="008000"/>
              </a:solidFill>
              <a:ln w="12700">
                <a:solidFill>
                  <a:srgbClr val="000000"/>
                </a:solidFill>
                <a:prstDash val="solid"/>
              </a:ln>
            </c:spPr>
          </c:dPt>
          <c:dLbls>
            <c:dLbl>
              <c:idx val="0"/>
              <c:layout>
                <c:manualLayout>
                  <c:x val="2.5389726003819401E-2"/>
                  <c:y val="2.3965073672721601E-3"/>
                </c:manualLayout>
              </c:layout>
              <c:dLblPos val="bestFit"/>
              <c:showLegendKey val="0"/>
              <c:showVal val="1"/>
              <c:showCatName val="0"/>
              <c:showSerName val="0"/>
              <c:showPercent val="1"/>
              <c:showBubbleSize val="0"/>
            </c:dLbl>
            <c:dLbl>
              <c:idx val="1"/>
              <c:layout>
                <c:manualLayout>
                  <c:x val="5.6037075561791987E-2"/>
                  <c:y val="-3.2041786855851492E-3"/>
                </c:manualLayout>
              </c:layout>
              <c:dLblPos val="bestFit"/>
              <c:showLegendKey val="0"/>
              <c:showVal val="1"/>
              <c:showCatName val="0"/>
              <c:showSerName val="0"/>
              <c:showPercent val="1"/>
              <c:showBubbleSize val="0"/>
            </c:dLbl>
            <c:dLbl>
              <c:idx val="2"/>
              <c:layout>
                <c:manualLayout>
                  <c:x val="-0.15044546288767749"/>
                  <c:y val="3.1710682182426356E-2"/>
                </c:manualLayout>
              </c:layout>
              <c:dLblPos val="bestFit"/>
              <c:showLegendKey val="0"/>
              <c:showVal val="1"/>
              <c:showCatName val="0"/>
              <c:showSerName val="0"/>
              <c:showPercent val="1"/>
              <c:showBubbleSize val="0"/>
            </c:dLbl>
            <c:dLbl>
              <c:idx val="3"/>
              <c:layout>
                <c:manualLayout>
                  <c:x val="-0.14168968929000283"/>
                  <c:y val="-7.9738926439510587E-4"/>
                </c:manualLayout>
              </c:layout>
              <c:dLblPos val="bestFit"/>
              <c:showLegendKey val="0"/>
              <c:showVal val="1"/>
              <c:showCatName val="0"/>
              <c:showSerName val="0"/>
              <c:showPercent val="1"/>
              <c:showBubbleSize val="0"/>
            </c:dLbl>
            <c:dLbl>
              <c:idx val="4"/>
              <c:layout>
                <c:manualLayout>
                  <c:x val="-4.1309746684268747E-2"/>
                  <c:y val="2.4558335075372216E-2"/>
                </c:manualLayout>
              </c:layout>
              <c:dLblPos val="bestFit"/>
              <c:showLegendKey val="0"/>
              <c:showVal val="1"/>
              <c:showCatName val="0"/>
              <c:showSerName val="0"/>
              <c:showPercent val="1"/>
              <c:showBubbleSize val="0"/>
            </c:dLbl>
            <c:dLbl>
              <c:idx val="5"/>
              <c:layout>
                <c:manualLayout>
                  <c:x val="-0.11323933774441251"/>
                  <c:y val="6.0541657956472514E-3"/>
                </c:manualLayout>
              </c:layout>
              <c:dLblPos val="bestFit"/>
              <c:showLegendKey val="0"/>
              <c:showVal val="1"/>
              <c:showCatName val="0"/>
              <c:showSerName val="0"/>
              <c:showPercent val="1"/>
              <c:showBubbleSize val="0"/>
            </c:dLbl>
            <c:dLbl>
              <c:idx val="6"/>
              <c:layout>
                <c:manualLayout>
                  <c:x val="-4.8305753486504316E-2"/>
                  <c:y val="-1.6209555663949906E-2"/>
                </c:manualLayout>
              </c:layout>
              <c:dLblPos val="bestFit"/>
              <c:showLegendKey val="0"/>
              <c:showVal val="1"/>
              <c:showCatName val="0"/>
              <c:showSerName val="0"/>
              <c:showPercent val="1"/>
              <c:showBubbleSize val="0"/>
            </c:dLbl>
            <c:dLbl>
              <c:idx val="7"/>
              <c:layout>
                <c:manualLayout>
                  <c:x val="-0.12645120818617575"/>
                  <c:y val="-7.118087009035369E-2"/>
                </c:manualLayout>
              </c:layout>
              <c:dLblPos val="bestFit"/>
              <c:showLegendKey val="0"/>
              <c:showVal val="1"/>
              <c:showCatName val="0"/>
              <c:showSerName val="0"/>
              <c:showPercent val="1"/>
              <c:showBubbleSize val="0"/>
            </c:dLbl>
            <c:dLbl>
              <c:idx val="8"/>
              <c:delete val="1"/>
            </c:dLbl>
            <c:dLbl>
              <c:idx val="9"/>
              <c:layout>
                <c:manualLayout>
                  <c:x val="-4.6504394279102371E-2"/>
                  <c:y val="-4.4491905325993834E-2"/>
                </c:manualLayout>
              </c:layout>
              <c:dLblPos val="bestFit"/>
              <c:showLegendKey val="0"/>
              <c:showVal val="1"/>
              <c:showCatName val="0"/>
              <c:showSerName val="0"/>
              <c:showPercent val="1"/>
              <c:showBubbleSize val="0"/>
            </c:dLbl>
            <c:dLbl>
              <c:idx val="10"/>
              <c:layout>
                <c:manualLayout>
                  <c:x val="-9.1080857932390638E-2"/>
                  <c:y val="-0.10201147422943814"/>
                </c:manualLayout>
              </c:layout>
              <c:dLblPos val="bestFit"/>
              <c:showLegendKey val="0"/>
              <c:showVal val="1"/>
              <c:showCatName val="0"/>
              <c:showSerName val="0"/>
              <c:showPercent val="1"/>
              <c:showBubbleSize val="0"/>
            </c:dLbl>
            <c:dLbl>
              <c:idx val="11"/>
              <c:layout>
                <c:manualLayout>
                  <c:x val="-0.12279091282458802"/>
                  <c:y val="-0.1815014052446984"/>
                </c:manualLayout>
              </c:layout>
              <c:dLblPos val="bestFit"/>
              <c:showLegendKey val="0"/>
              <c:showVal val="1"/>
              <c:showCatName val="0"/>
              <c:showSerName val="0"/>
              <c:showPercent val="1"/>
              <c:showBubbleSize val="0"/>
            </c:dLbl>
            <c:dLbl>
              <c:idx val="12"/>
              <c:layout>
                <c:manualLayout>
                  <c:x val="-2.8437792268247896E-2"/>
                  <c:y val="-0.13673216732864138"/>
                </c:manualLayout>
              </c:layout>
              <c:dLblPos val="bestFit"/>
              <c:showLegendKey val="0"/>
              <c:showVal val="1"/>
              <c:showCatName val="0"/>
              <c:showSerName val="0"/>
              <c:showPercent val="1"/>
              <c:showBubbleSize val="0"/>
            </c:dLbl>
            <c:dLbl>
              <c:idx val="13"/>
              <c:layout>
                <c:manualLayout>
                  <c:x val="-1.6530618702623387E-2"/>
                  <c:y val="-0.19933268297215059"/>
                </c:manualLayout>
              </c:layout>
              <c:dLblPos val="bestFit"/>
              <c:showLegendKey val="0"/>
              <c:showVal val="1"/>
              <c:showCatName val="0"/>
              <c:showSerName val="0"/>
              <c:showPercent val="1"/>
              <c:showBubbleSize val="0"/>
            </c:dLbl>
            <c:dLbl>
              <c:idx val="14"/>
              <c:layout>
                <c:manualLayout>
                  <c:x val="4.9797534662789932E-2"/>
                  <c:y val="-0.15837247114023006"/>
                </c:manualLayout>
              </c:layout>
              <c:showLegendKey val="0"/>
              <c:showVal val="1"/>
              <c:showCatName val="0"/>
              <c:showSerName val="0"/>
              <c:showPercent val="1"/>
              <c:showBubbleSize val="0"/>
            </c:dLbl>
            <c:dLbl>
              <c:idx val="15"/>
              <c:layout>
                <c:manualLayout>
                  <c:x val="0.13099978698160791"/>
                  <c:y val="-0.14378905070494521"/>
                </c:manualLayout>
              </c:layout>
              <c:showLegendKey val="0"/>
              <c:showVal val="1"/>
              <c:showCatName val="0"/>
              <c:showSerName val="0"/>
              <c:showPercent val="1"/>
              <c:showBubbleSize val="0"/>
            </c:dLbl>
            <c:dLbl>
              <c:idx val="16"/>
              <c:layout>
                <c:manualLayout>
                  <c:x val="0.11804203802166263"/>
                  <c:y val="-4.4376001672357328E-2"/>
                </c:manualLayout>
              </c:layout>
              <c:showLegendKey val="0"/>
              <c:showVal val="1"/>
              <c:showCatName val="0"/>
              <c:showSerName val="0"/>
              <c:showPercent val="1"/>
              <c:showBubbleSize val="0"/>
            </c:dLbl>
            <c:dLbl>
              <c:idx val="17"/>
              <c:layout>
                <c:manualLayout>
                  <c:x val="0.20261476253363184"/>
                  <c:y val="-1.3800107372942027E-2"/>
                </c:manualLayout>
              </c:layout>
              <c:showLegendKey val="0"/>
              <c:showVal val="1"/>
              <c:showCatName val="0"/>
              <c:showSerName val="0"/>
              <c:showPercent val="1"/>
              <c:showBubbleSize val="0"/>
            </c:dLbl>
            <c:numFmt formatCode="0%" sourceLinked="0"/>
            <c:spPr>
              <a:noFill/>
              <a:ln w="25400">
                <a:noFill/>
              </a:ln>
            </c:spPr>
            <c:txPr>
              <a:bodyPr/>
              <a:lstStyle/>
              <a:p>
                <a:pPr>
                  <a:defRPr sz="1200" b="0" i="0" u="none" strike="noStrike" baseline="0">
                    <a:solidFill>
                      <a:srgbClr val="000000"/>
                    </a:solidFill>
                    <a:latin typeface="Arial"/>
                    <a:ea typeface="Arial"/>
                    <a:cs typeface="Arial"/>
                  </a:defRPr>
                </a:pPr>
                <a:endParaRPr lang="en-US"/>
              </a:p>
            </c:txPr>
            <c:showLegendKey val="0"/>
            <c:showVal val="1"/>
            <c:showCatName val="0"/>
            <c:showSerName val="0"/>
            <c:showPercent val="1"/>
            <c:showBubbleSize val="0"/>
            <c:showLeaderLines val="1"/>
          </c:dLbls>
          <c:cat>
            <c:strRef>
              <c:f>(Analysis!$A$196:$A$197,Analysis!$A$199:$A$207,Analysis!$A$210:$A$216)</c:f>
              <c:strCache>
                <c:ptCount val="18"/>
                <c:pt idx="0">
                  <c:v>Russia</c:v>
                </c:pt>
                <c:pt idx="1">
                  <c:v>Ukraine</c:v>
                </c:pt>
                <c:pt idx="2">
                  <c:v>Bulgaria</c:v>
                </c:pt>
                <c:pt idx="3">
                  <c:v>Czech Republic </c:v>
                </c:pt>
                <c:pt idx="4">
                  <c:v>Romania</c:v>
                </c:pt>
                <c:pt idx="5">
                  <c:v>Poland</c:v>
                </c:pt>
                <c:pt idx="6">
                  <c:v>Hungary</c:v>
                </c:pt>
                <c:pt idx="7">
                  <c:v>Estonia </c:v>
                </c:pt>
                <c:pt idx="8">
                  <c:v>Latvia</c:v>
                </c:pt>
                <c:pt idx="9">
                  <c:v>Lithuania</c:v>
                </c:pt>
                <c:pt idx="10">
                  <c:v>Slovakia</c:v>
                </c:pt>
                <c:pt idx="11">
                  <c:v>Germany</c:v>
                </c:pt>
                <c:pt idx="12">
                  <c:v>Finland</c:v>
                </c:pt>
                <c:pt idx="13">
                  <c:v>France</c:v>
                </c:pt>
                <c:pt idx="14">
                  <c:v>Greece</c:v>
                </c:pt>
                <c:pt idx="15">
                  <c:v>Spain</c:v>
                </c:pt>
                <c:pt idx="16">
                  <c:v>Sweden</c:v>
                </c:pt>
                <c:pt idx="17">
                  <c:v>New Zealand</c:v>
                </c:pt>
              </c:strCache>
            </c:strRef>
          </c:cat>
          <c:val>
            <c:numRef>
              <c:f>(Analysis!$H$196:$H$197,Analysis!$H$199:$H$207,Analysis!$H$210:$H$216)</c:f>
              <c:numCache>
                <c:formatCode>0</c:formatCode>
                <c:ptCount val="18"/>
                <c:pt idx="0">
                  <c:v>182</c:v>
                </c:pt>
                <c:pt idx="1">
                  <c:v>321</c:v>
                </c:pt>
                <c:pt idx="2">
                  <c:v>38</c:v>
                </c:pt>
                <c:pt idx="3">
                  <c:v>59</c:v>
                </c:pt>
                <c:pt idx="4">
                  <c:v>21</c:v>
                </c:pt>
                <c:pt idx="5">
                  <c:v>40</c:v>
                </c:pt>
                <c:pt idx="6">
                  <c:v>13</c:v>
                </c:pt>
                <c:pt idx="7">
                  <c:v>14</c:v>
                </c:pt>
                <c:pt idx="8">
                  <c:v>1</c:v>
                </c:pt>
                <c:pt idx="9">
                  <c:v>20</c:v>
                </c:pt>
                <c:pt idx="10">
                  <c:v>2</c:v>
                </c:pt>
                <c:pt idx="11">
                  <c:v>13</c:v>
                </c:pt>
                <c:pt idx="12">
                  <c:v>3</c:v>
                </c:pt>
                <c:pt idx="13">
                  <c:v>17</c:v>
                </c:pt>
                <c:pt idx="14">
                  <c:v>2</c:v>
                </c:pt>
                <c:pt idx="15">
                  <c:v>3</c:v>
                </c:pt>
                <c:pt idx="16">
                  <c:v>2</c:v>
                </c:pt>
                <c:pt idx="17">
                  <c:v>8</c:v>
                </c:pt>
              </c:numCache>
            </c:numRef>
          </c:val>
        </c:ser>
        <c:dLbls>
          <c:showLegendKey val="0"/>
          <c:showVal val="0"/>
          <c:showCatName val="0"/>
          <c:showSerName val="0"/>
          <c:showPercent val="1"/>
          <c:showBubbleSize val="0"/>
          <c:showLeaderLines val="1"/>
        </c:dLbls>
        <c:firstSliceAng val="0"/>
      </c:pieChart>
      <c:spPr>
        <a:solidFill>
          <a:srgbClr val="FFFFFF"/>
        </a:solidFill>
        <a:ln w="12700">
          <a:solidFill>
            <a:srgbClr val="FFFFFF"/>
          </a:solidFill>
          <a:prstDash val="solid"/>
        </a:ln>
      </c:spPr>
    </c:plotArea>
    <c:legend>
      <c:legendPos val="r"/>
      <c:layout>
        <c:manualLayout>
          <c:xMode val="edge"/>
          <c:yMode val="edge"/>
          <c:x val="0.79318213920700376"/>
          <c:y val="2.9429308062156052E-2"/>
          <c:w val="0.16061185468451217"/>
          <c:h val="0.95788809182209467"/>
        </c:manualLayout>
      </c:layout>
      <c:overlay val="0"/>
      <c:spPr>
        <a:solidFill>
          <a:srgbClr val="FFFFFF"/>
        </a:solidFill>
        <a:ln w="3175">
          <a:solidFill>
            <a:srgbClr val="000000"/>
          </a:solidFill>
          <a:prstDash val="solid"/>
        </a:ln>
      </c:spPr>
      <c:txPr>
        <a:bodyPr/>
        <a:lstStyle/>
        <a:p>
          <a:pPr>
            <a:defRPr sz="82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Accumulated</a:t>
            </a:r>
            <a:r>
              <a:rPr lang="en-US" baseline="0"/>
              <a:t> issuance</a:t>
            </a:r>
            <a:endParaRPr lang="en-US"/>
          </a:p>
        </c:rich>
      </c:tx>
      <c:overlay val="0"/>
    </c:title>
    <c:autoTitleDeleted val="0"/>
    <c:plotArea>
      <c:layout/>
      <c:lineChart>
        <c:grouping val="standard"/>
        <c:varyColors val="0"/>
        <c:ser>
          <c:idx val="0"/>
          <c:order val="0"/>
          <c:tx>
            <c:v>Total</c:v>
          </c:tx>
          <c:marker>
            <c:symbol val="none"/>
          </c:marker>
          <c:cat>
            <c:numRef>
              <c:f>Time!$N$177:$CJ$177</c:f>
              <c:numCache>
                <c:formatCode>mmm\-yy</c:formatCode>
                <c:ptCount val="75"/>
                <c:pt idx="0">
                  <c:v>39814</c:v>
                </c:pt>
                <c:pt idx="1">
                  <c:v>39845</c:v>
                </c:pt>
                <c:pt idx="2">
                  <c:v>39873</c:v>
                </c:pt>
                <c:pt idx="3">
                  <c:v>39904</c:v>
                </c:pt>
                <c:pt idx="4">
                  <c:v>39934</c:v>
                </c:pt>
                <c:pt idx="5">
                  <c:v>39965</c:v>
                </c:pt>
                <c:pt idx="6">
                  <c:v>39995</c:v>
                </c:pt>
                <c:pt idx="7">
                  <c:v>40026</c:v>
                </c:pt>
                <c:pt idx="8">
                  <c:v>40057</c:v>
                </c:pt>
                <c:pt idx="9">
                  <c:v>40087</c:v>
                </c:pt>
                <c:pt idx="10">
                  <c:v>40118</c:v>
                </c:pt>
                <c:pt idx="11">
                  <c:v>40148</c:v>
                </c:pt>
                <c:pt idx="12">
                  <c:v>40179</c:v>
                </c:pt>
                <c:pt idx="13">
                  <c:v>40210</c:v>
                </c:pt>
                <c:pt idx="14">
                  <c:v>40238</c:v>
                </c:pt>
                <c:pt idx="15">
                  <c:v>40269</c:v>
                </c:pt>
                <c:pt idx="16">
                  <c:v>40299</c:v>
                </c:pt>
                <c:pt idx="17">
                  <c:v>40330</c:v>
                </c:pt>
                <c:pt idx="18">
                  <c:v>40360</c:v>
                </c:pt>
                <c:pt idx="19">
                  <c:v>40391</c:v>
                </c:pt>
                <c:pt idx="20">
                  <c:v>40422</c:v>
                </c:pt>
                <c:pt idx="21">
                  <c:v>40452</c:v>
                </c:pt>
                <c:pt idx="22">
                  <c:v>40483</c:v>
                </c:pt>
                <c:pt idx="23">
                  <c:v>40513</c:v>
                </c:pt>
                <c:pt idx="24">
                  <c:v>40544</c:v>
                </c:pt>
                <c:pt idx="25">
                  <c:v>40575</c:v>
                </c:pt>
                <c:pt idx="26">
                  <c:v>40603</c:v>
                </c:pt>
                <c:pt idx="27">
                  <c:v>40634</c:v>
                </c:pt>
                <c:pt idx="28">
                  <c:v>40664</c:v>
                </c:pt>
                <c:pt idx="29">
                  <c:v>40695</c:v>
                </c:pt>
                <c:pt idx="30">
                  <c:v>40725</c:v>
                </c:pt>
                <c:pt idx="31">
                  <c:v>40756</c:v>
                </c:pt>
                <c:pt idx="32">
                  <c:v>40787</c:v>
                </c:pt>
                <c:pt idx="33">
                  <c:v>40817</c:v>
                </c:pt>
                <c:pt idx="34">
                  <c:v>40848</c:v>
                </c:pt>
                <c:pt idx="35">
                  <c:v>40878</c:v>
                </c:pt>
                <c:pt idx="36">
                  <c:v>40909</c:v>
                </c:pt>
                <c:pt idx="37">
                  <c:v>40940</c:v>
                </c:pt>
                <c:pt idx="38">
                  <c:v>40969</c:v>
                </c:pt>
                <c:pt idx="39">
                  <c:v>41000</c:v>
                </c:pt>
                <c:pt idx="40">
                  <c:v>41030</c:v>
                </c:pt>
                <c:pt idx="41">
                  <c:v>41061</c:v>
                </c:pt>
                <c:pt idx="42">
                  <c:v>41091</c:v>
                </c:pt>
                <c:pt idx="43">
                  <c:v>41122</c:v>
                </c:pt>
                <c:pt idx="44">
                  <c:v>41153</c:v>
                </c:pt>
                <c:pt idx="45">
                  <c:v>41183</c:v>
                </c:pt>
                <c:pt idx="46">
                  <c:v>41214</c:v>
                </c:pt>
                <c:pt idx="47">
                  <c:v>41244</c:v>
                </c:pt>
                <c:pt idx="48">
                  <c:v>41275</c:v>
                </c:pt>
                <c:pt idx="49">
                  <c:v>41306</c:v>
                </c:pt>
                <c:pt idx="50">
                  <c:v>41334</c:v>
                </c:pt>
                <c:pt idx="51">
                  <c:v>41365</c:v>
                </c:pt>
                <c:pt idx="52">
                  <c:v>41395</c:v>
                </c:pt>
                <c:pt idx="53">
                  <c:v>41426</c:v>
                </c:pt>
                <c:pt idx="54">
                  <c:v>41456</c:v>
                </c:pt>
                <c:pt idx="55">
                  <c:v>41487</c:v>
                </c:pt>
                <c:pt idx="56">
                  <c:v>41518</c:v>
                </c:pt>
                <c:pt idx="57">
                  <c:v>41548</c:v>
                </c:pt>
                <c:pt idx="58">
                  <c:v>41579</c:v>
                </c:pt>
                <c:pt idx="59">
                  <c:v>41609</c:v>
                </c:pt>
                <c:pt idx="60">
                  <c:v>41640</c:v>
                </c:pt>
                <c:pt idx="61">
                  <c:v>41671</c:v>
                </c:pt>
                <c:pt idx="62">
                  <c:v>41699</c:v>
                </c:pt>
                <c:pt idx="63">
                  <c:v>41730</c:v>
                </c:pt>
                <c:pt idx="64">
                  <c:v>41760</c:v>
                </c:pt>
                <c:pt idx="65">
                  <c:v>41791</c:v>
                </c:pt>
                <c:pt idx="66">
                  <c:v>41821</c:v>
                </c:pt>
                <c:pt idx="67">
                  <c:v>41852</c:v>
                </c:pt>
                <c:pt idx="68">
                  <c:v>41883</c:v>
                </c:pt>
                <c:pt idx="69">
                  <c:v>41913</c:v>
                </c:pt>
                <c:pt idx="70">
                  <c:v>41944</c:v>
                </c:pt>
                <c:pt idx="71">
                  <c:v>41974</c:v>
                </c:pt>
                <c:pt idx="72">
                  <c:v>42005</c:v>
                </c:pt>
                <c:pt idx="73">
                  <c:v>42036</c:v>
                </c:pt>
                <c:pt idx="74">
                  <c:v>42064</c:v>
                </c:pt>
              </c:numCache>
            </c:numRef>
          </c:cat>
          <c:val>
            <c:numRef>
              <c:f>Time!$N$178:$CJ$178</c:f>
              <c:numCache>
                <c:formatCode>0.0</c:formatCode>
                <c:ptCount val="75"/>
                <c:pt idx="0">
                  <c:v>0</c:v>
                </c:pt>
                <c:pt idx="1">
                  <c:v>0</c:v>
                </c:pt>
                <c:pt idx="2">
                  <c:v>0.33100000000000002</c:v>
                </c:pt>
                <c:pt idx="3">
                  <c:v>0.65100000000000002</c:v>
                </c:pt>
                <c:pt idx="4">
                  <c:v>1.0669999999999999</c:v>
                </c:pt>
                <c:pt idx="5">
                  <c:v>1.1679999999999999</c:v>
                </c:pt>
                <c:pt idx="6">
                  <c:v>1.1679999999999999</c:v>
                </c:pt>
                <c:pt idx="7">
                  <c:v>1.1679999999999999</c:v>
                </c:pt>
                <c:pt idx="8">
                  <c:v>2.105</c:v>
                </c:pt>
                <c:pt idx="9">
                  <c:v>2.923</c:v>
                </c:pt>
                <c:pt idx="10">
                  <c:v>3.8849999999999998</c:v>
                </c:pt>
                <c:pt idx="11">
                  <c:v>4.5979999999999999</c:v>
                </c:pt>
                <c:pt idx="12">
                  <c:v>5.1980000000000004</c:v>
                </c:pt>
                <c:pt idx="13">
                  <c:v>5.7160000000000002</c:v>
                </c:pt>
                <c:pt idx="14">
                  <c:v>5.7160000000000002</c:v>
                </c:pt>
                <c:pt idx="15">
                  <c:v>5.7160000000000002</c:v>
                </c:pt>
                <c:pt idx="16">
                  <c:v>7.36</c:v>
                </c:pt>
                <c:pt idx="17">
                  <c:v>9.7159999999999993</c:v>
                </c:pt>
                <c:pt idx="18">
                  <c:v>9.7159999999999993</c:v>
                </c:pt>
                <c:pt idx="19">
                  <c:v>9.7919999999999998</c:v>
                </c:pt>
                <c:pt idx="20">
                  <c:v>10.702</c:v>
                </c:pt>
                <c:pt idx="21">
                  <c:v>20.754000000000001</c:v>
                </c:pt>
                <c:pt idx="22">
                  <c:v>20.753999999999998</c:v>
                </c:pt>
                <c:pt idx="23">
                  <c:v>20.753999999999998</c:v>
                </c:pt>
                <c:pt idx="24">
                  <c:v>28.874000000000002</c:v>
                </c:pt>
                <c:pt idx="25">
                  <c:v>29.631</c:v>
                </c:pt>
                <c:pt idx="26">
                  <c:v>35.088999999999999</c:v>
                </c:pt>
                <c:pt idx="27">
                  <c:v>36.402000000000001</c:v>
                </c:pt>
                <c:pt idx="28">
                  <c:v>36.900999999999996</c:v>
                </c:pt>
                <c:pt idx="29">
                  <c:v>41.348999999999997</c:v>
                </c:pt>
                <c:pt idx="30">
                  <c:v>46.536000000000001</c:v>
                </c:pt>
                <c:pt idx="31">
                  <c:v>53.281999999999996</c:v>
                </c:pt>
                <c:pt idx="32">
                  <c:v>60.256</c:v>
                </c:pt>
                <c:pt idx="33">
                  <c:v>87.048000000000002</c:v>
                </c:pt>
                <c:pt idx="34">
                  <c:v>105.718</c:v>
                </c:pt>
                <c:pt idx="35">
                  <c:v>108.376</c:v>
                </c:pt>
                <c:pt idx="36">
                  <c:v>118.839</c:v>
                </c:pt>
                <c:pt idx="37" formatCode="General">
                  <c:v>119.2</c:v>
                </c:pt>
                <c:pt idx="38">
                  <c:v>130.15800000000002</c:v>
                </c:pt>
                <c:pt idx="39">
                  <c:v>143.46100000000001</c:v>
                </c:pt>
                <c:pt idx="40" formatCode="General">
                  <c:v>167.92500000000001</c:v>
                </c:pt>
                <c:pt idx="41">
                  <c:v>169.53200000000001</c:v>
                </c:pt>
                <c:pt idx="42">
                  <c:v>174.34199999999998</c:v>
                </c:pt>
                <c:pt idx="43">
                  <c:v>225.078</c:v>
                </c:pt>
                <c:pt idx="44" formatCode="General">
                  <c:v>233.08151089</c:v>
                </c:pt>
                <c:pt idx="45">
                  <c:v>252.08499999999998</c:v>
                </c:pt>
                <c:pt idx="46">
                  <c:v>253.18736199999998</c:v>
                </c:pt>
                <c:pt idx="47">
                  <c:v>385.69136199999997</c:v>
                </c:pt>
                <c:pt idx="48">
                  <c:v>587.20836200000008</c:v>
                </c:pt>
                <c:pt idx="49" formatCode="General">
                  <c:v>622.64536199999998</c:v>
                </c:pt>
                <c:pt idx="50">
                  <c:v>674.24736200000007</c:v>
                </c:pt>
                <c:pt idx="51">
                  <c:v>732.72036200000002</c:v>
                </c:pt>
                <c:pt idx="52">
                  <c:v>738.37736200000006</c:v>
                </c:pt>
                <c:pt idx="53">
                  <c:v>781.3827500000001</c:v>
                </c:pt>
                <c:pt idx="54">
                  <c:v>781.61836200000005</c:v>
                </c:pt>
                <c:pt idx="55">
                  <c:v>809.79136200000005</c:v>
                </c:pt>
                <c:pt idx="56" formatCode="General">
                  <c:v>826.62636199999997</c:v>
                </c:pt>
                <c:pt idx="57">
                  <c:v>827.76336200000003</c:v>
                </c:pt>
                <c:pt idx="58">
                  <c:v>828.870362</c:v>
                </c:pt>
                <c:pt idx="59">
                  <c:v>829.04636200000004</c:v>
                </c:pt>
                <c:pt idx="60">
                  <c:v>829.15736200000003</c:v>
                </c:pt>
                <c:pt idx="61" formatCode="General">
                  <c:v>834.93636200000003</c:v>
                </c:pt>
                <c:pt idx="62" formatCode="General">
                  <c:v>841.46436200000005</c:v>
                </c:pt>
                <c:pt idx="63" formatCode="General">
                  <c:v>849.47336200000007</c:v>
                </c:pt>
                <c:pt idx="64">
                  <c:v>849.53036199999997</c:v>
                </c:pt>
                <c:pt idx="65">
                  <c:v>849.53036199999997</c:v>
                </c:pt>
                <c:pt idx="66">
                  <c:v>849.53036199999997</c:v>
                </c:pt>
                <c:pt idx="67">
                  <c:v>849.90636200000006</c:v>
                </c:pt>
                <c:pt idx="68" formatCode="General">
                  <c:v>849.90636200000006</c:v>
                </c:pt>
                <c:pt idx="69">
                  <c:v>849.90636200000006</c:v>
                </c:pt>
                <c:pt idx="70">
                  <c:v>849.90636200000006</c:v>
                </c:pt>
                <c:pt idx="71">
                  <c:v>863.51122916499992</c:v>
                </c:pt>
                <c:pt idx="72">
                  <c:v>863.51122916499992</c:v>
                </c:pt>
                <c:pt idx="73">
                  <c:v>863.51122916499992</c:v>
                </c:pt>
                <c:pt idx="74">
                  <c:v>863.51122916499992</c:v>
                </c:pt>
              </c:numCache>
            </c:numRef>
          </c:val>
          <c:smooth val="0"/>
        </c:ser>
        <c:ser>
          <c:idx val="1"/>
          <c:order val="1"/>
          <c:tx>
            <c:v>Track 1</c:v>
          </c:tx>
          <c:marker>
            <c:symbol val="none"/>
          </c:marker>
          <c:cat>
            <c:numRef>
              <c:f>Time!$N$177:$CJ$177</c:f>
              <c:numCache>
                <c:formatCode>mmm\-yy</c:formatCode>
                <c:ptCount val="75"/>
                <c:pt idx="0">
                  <c:v>39814</c:v>
                </c:pt>
                <c:pt idx="1">
                  <c:v>39845</c:v>
                </c:pt>
                <c:pt idx="2">
                  <c:v>39873</c:v>
                </c:pt>
                <c:pt idx="3">
                  <c:v>39904</c:v>
                </c:pt>
                <c:pt idx="4">
                  <c:v>39934</c:v>
                </c:pt>
                <c:pt idx="5">
                  <c:v>39965</c:v>
                </c:pt>
                <c:pt idx="6">
                  <c:v>39995</c:v>
                </c:pt>
                <c:pt idx="7">
                  <c:v>40026</c:v>
                </c:pt>
                <c:pt idx="8">
                  <c:v>40057</c:v>
                </c:pt>
                <c:pt idx="9">
                  <c:v>40087</c:v>
                </c:pt>
                <c:pt idx="10">
                  <c:v>40118</c:v>
                </c:pt>
                <c:pt idx="11">
                  <c:v>40148</c:v>
                </c:pt>
                <c:pt idx="12">
                  <c:v>40179</c:v>
                </c:pt>
                <c:pt idx="13">
                  <c:v>40210</c:v>
                </c:pt>
                <c:pt idx="14">
                  <c:v>40238</c:v>
                </c:pt>
                <c:pt idx="15">
                  <c:v>40269</c:v>
                </c:pt>
                <c:pt idx="16">
                  <c:v>40299</c:v>
                </c:pt>
                <c:pt idx="17">
                  <c:v>40330</c:v>
                </c:pt>
                <c:pt idx="18">
                  <c:v>40360</c:v>
                </c:pt>
                <c:pt idx="19">
                  <c:v>40391</c:v>
                </c:pt>
                <c:pt idx="20">
                  <c:v>40422</c:v>
                </c:pt>
                <c:pt idx="21">
                  <c:v>40452</c:v>
                </c:pt>
                <c:pt idx="22">
                  <c:v>40483</c:v>
                </c:pt>
                <c:pt idx="23">
                  <c:v>40513</c:v>
                </c:pt>
                <c:pt idx="24">
                  <c:v>40544</c:v>
                </c:pt>
                <c:pt idx="25">
                  <c:v>40575</c:v>
                </c:pt>
                <c:pt idx="26">
                  <c:v>40603</c:v>
                </c:pt>
                <c:pt idx="27">
                  <c:v>40634</c:v>
                </c:pt>
                <c:pt idx="28">
                  <c:v>40664</c:v>
                </c:pt>
                <c:pt idx="29">
                  <c:v>40695</c:v>
                </c:pt>
                <c:pt idx="30">
                  <c:v>40725</c:v>
                </c:pt>
                <c:pt idx="31">
                  <c:v>40756</c:v>
                </c:pt>
                <c:pt idx="32">
                  <c:v>40787</c:v>
                </c:pt>
                <c:pt idx="33">
                  <c:v>40817</c:v>
                </c:pt>
                <c:pt idx="34">
                  <c:v>40848</c:v>
                </c:pt>
                <c:pt idx="35">
                  <c:v>40878</c:v>
                </c:pt>
                <c:pt idx="36">
                  <c:v>40909</c:v>
                </c:pt>
                <c:pt idx="37">
                  <c:v>40940</c:v>
                </c:pt>
                <c:pt idx="38">
                  <c:v>40969</c:v>
                </c:pt>
                <c:pt idx="39">
                  <c:v>41000</c:v>
                </c:pt>
                <c:pt idx="40">
                  <c:v>41030</c:v>
                </c:pt>
                <c:pt idx="41">
                  <c:v>41061</c:v>
                </c:pt>
                <c:pt idx="42">
                  <c:v>41091</c:v>
                </c:pt>
                <c:pt idx="43">
                  <c:v>41122</c:v>
                </c:pt>
                <c:pt idx="44">
                  <c:v>41153</c:v>
                </c:pt>
                <c:pt idx="45">
                  <c:v>41183</c:v>
                </c:pt>
                <c:pt idx="46">
                  <c:v>41214</c:v>
                </c:pt>
                <c:pt idx="47">
                  <c:v>41244</c:v>
                </c:pt>
                <c:pt idx="48">
                  <c:v>41275</c:v>
                </c:pt>
                <c:pt idx="49">
                  <c:v>41306</c:v>
                </c:pt>
                <c:pt idx="50">
                  <c:v>41334</c:v>
                </c:pt>
                <c:pt idx="51">
                  <c:v>41365</c:v>
                </c:pt>
                <c:pt idx="52">
                  <c:v>41395</c:v>
                </c:pt>
                <c:pt idx="53">
                  <c:v>41426</c:v>
                </c:pt>
                <c:pt idx="54">
                  <c:v>41456</c:v>
                </c:pt>
                <c:pt idx="55">
                  <c:v>41487</c:v>
                </c:pt>
                <c:pt idx="56">
                  <c:v>41518</c:v>
                </c:pt>
                <c:pt idx="57">
                  <c:v>41548</c:v>
                </c:pt>
                <c:pt idx="58">
                  <c:v>41579</c:v>
                </c:pt>
                <c:pt idx="59">
                  <c:v>41609</c:v>
                </c:pt>
                <c:pt idx="60">
                  <c:v>41640</c:v>
                </c:pt>
                <c:pt idx="61">
                  <c:v>41671</c:v>
                </c:pt>
                <c:pt idx="62">
                  <c:v>41699</c:v>
                </c:pt>
                <c:pt idx="63">
                  <c:v>41730</c:v>
                </c:pt>
                <c:pt idx="64">
                  <c:v>41760</c:v>
                </c:pt>
                <c:pt idx="65">
                  <c:v>41791</c:v>
                </c:pt>
                <c:pt idx="66">
                  <c:v>41821</c:v>
                </c:pt>
                <c:pt idx="67">
                  <c:v>41852</c:v>
                </c:pt>
                <c:pt idx="68">
                  <c:v>41883</c:v>
                </c:pt>
                <c:pt idx="69">
                  <c:v>41913</c:v>
                </c:pt>
                <c:pt idx="70">
                  <c:v>41944</c:v>
                </c:pt>
                <c:pt idx="71">
                  <c:v>41974</c:v>
                </c:pt>
                <c:pt idx="72">
                  <c:v>42005</c:v>
                </c:pt>
                <c:pt idx="73">
                  <c:v>42036</c:v>
                </c:pt>
                <c:pt idx="74">
                  <c:v>42064</c:v>
                </c:pt>
              </c:numCache>
            </c:numRef>
          </c:cat>
          <c:val>
            <c:numRef>
              <c:f>Time!$N$179:$CJ$179</c:f>
              <c:numCache>
                <c:formatCode>0.0</c:formatCode>
                <c:ptCount val="75"/>
                <c:pt idx="0">
                  <c:v>0</c:v>
                </c:pt>
                <c:pt idx="1">
                  <c:v>0</c:v>
                </c:pt>
                <c:pt idx="2">
                  <c:v>0</c:v>
                </c:pt>
                <c:pt idx="3">
                  <c:v>0</c:v>
                </c:pt>
                <c:pt idx="4">
                  <c:v>0.41599999999999998</c:v>
                </c:pt>
                <c:pt idx="5">
                  <c:v>0.51700000000000002</c:v>
                </c:pt>
                <c:pt idx="6">
                  <c:v>0.51700000000000002</c:v>
                </c:pt>
                <c:pt idx="7">
                  <c:v>0.51700000000000002</c:v>
                </c:pt>
                <c:pt idx="8">
                  <c:v>1.454</c:v>
                </c:pt>
                <c:pt idx="9">
                  <c:v>2.2448000000000001</c:v>
                </c:pt>
                <c:pt idx="10">
                  <c:v>3.1070000000000002</c:v>
                </c:pt>
                <c:pt idx="11">
                  <c:v>3.1739999999999999</c:v>
                </c:pt>
                <c:pt idx="12">
                  <c:v>3.7679999999999998</c:v>
                </c:pt>
                <c:pt idx="13">
                  <c:v>3.8839999999999999</c:v>
                </c:pt>
                <c:pt idx="14">
                  <c:v>3.8839999999999999</c:v>
                </c:pt>
                <c:pt idx="15">
                  <c:v>3.8839999999999999</c:v>
                </c:pt>
                <c:pt idx="16">
                  <c:v>5.5279999999999996</c:v>
                </c:pt>
                <c:pt idx="17">
                  <c:v>6.1390000000000002</c:v>
                </c:pt>
                <c:pt idx="18">
                  <c:v>6.1390000000000002</c:v>
                </c:pt>
                <c:pt idx="19">
                  <c:v>6.1390000000000002</c:v>
                </c:pt>
                <c:pt idx="20">
                  <c:v>6.5140000000000002</c:v>
                </c:pt>
                <c:pt idx="21">
                  <c:v>16.565999999999999</c:v>
                </c:pt>
                <c:pt idx="22">
                  <c:v>16.565999999999999</c:v>
                </c:pt>
                <c:pt idx="23">
                  <c:v>16.565999999999999</c:v>
                </c:pt>
                <c:pt idx="24">
                  <c:v>24.14</c:v>
                </c:pt>
                <c:pt idx="25">
                  <c:v>24.896999999999998</c:v>
                </c:pt>
                <c:pt idx="26">
                  <c:v>26.786000000000001</c:v>
                </c:pt>
                <c:pt idx="27">
                  <c:v>27.908000000000001</c:v>
                </c:pt>
                <c:pt idx="28">
                  <c:v>28.259</c:v>
                </c:pt>
                <c:pt idx="29">
                  <c:v>32.225999999999999</c:v>
                </c:pt>
                <c:pt idx="30">
                  <c:v>36.951000000000001</c:v>
                </c:pt>
                <c:pt idx="31">
                  <c:v>43.314999999999998</c:v>
                </c:pt>
                <c:pt idx="32">
                  <c:v>50.289000000000001</c:v>
                </c:pt>
                <c:pt idx="33">
                  <c:v>76.875</c:v>
                </c:pt>
                <c:pt idx="34">
                  <c:v>95.527000000000001</c:v>
                </c:pt>
                <c:pt idx="35">
                  <c:v>96.763000000000005</c:v>
                </c:pt>
                <c:pt idx="36">
                  <c:v>106.161</c:v>
                </c:pt>
                <c:pt idx="37">
                  <c:v>106.52200000000001</c:v>
                </c:pt>
                <c:pt idx="38">
                  <c:v>114.158</c:v>
                </c:pt>
                <c:pt idx="39">
                  <c:v>126.836</c:v>
                </c:pt>
                <c:pt idx="40">
                  <c:v>151.30000000000001</c:v>
                </c:pt>
                <c:pt idx="41">
                  <c:v>152.75</c:v>
                </c:pt>
                <c:pt idx="42">
                  <c:v>157.089</c:v>
                </c:pt>
                <c:pt idx="43">
                  <c:v>206.23327399999999</c:v>
                </c:pt>
                <c:pt idx="44">
                  <c:v>214.02814289</c:v>
                </c:pt>
                <c:pt idx="45">
                  <c:v>232.72299999999998</c:v>
                </c:pt>
                <c:pt idx="46">
                  <c:v>233.18636199999997</c:v>
                </c:pt>
                <c:pt idx="47">
                  <c:v>363.81636199999997</c:v>
                </c:pt>
                <c:pt idx="48">
                  <c:v>564.57136200000002</c:v>
                </c:pt>
                <c:pt idx="49">
                  <c:v>599.96536200000003</c:v>
                </c:pt>
                <c:pt idx="50">
                  <c:v>651.32836200000008</c:v>
                </c:pt>
                <c:pt idx="51">
                  <c:v>708.87936200000001</c:v>
                </c:pt>
                <c:pt idx="52">
                  <c:v>714.52536200000009</c:v>
                </c:pt>
                <c:pt idx="53">
                  <c:v>757.0103620000001</c:v>
                </c:pt>
                <c:pt idx="54">
                  <c:v>757.0103620000001</c:v>
                </c:pt>
                <c:pt idx="55">
                  <c:v>785.07536200000004</c:v>
                </c:pt>
                <c:pt idx="56">
                  <c:v>801.51436200000001</c:v>
                </c:pt>
                <c:pt idx="57">
                  <c:v>802.37736200000006</c:v>
                </c:pt>
                <c:pt idx="58">
                  <c:v>803.48436200000003</c:v>
                </c:pt>
                <c:pt idx="59">
                  <c:v>803.66036200000008</c:v>
                </c:pt>
                <c:pt idx="60">
                  <c:v>803.77136200000007</c:v>
                </c:pt>
                <c:pt idx="61">
                  <c:v>809.55036200000006</c:v>
                </c:pt>
                <c:pt idx="62">
                  <c:v>816.07836200000008</c:v>
                </c:pt>
                <c:pt idx="63">
                  <c:v>824.0873620000001</c:v>
                </c:pt>
                <c:pt idx="64">
                  <c:v>824.144362</c:v>
                </c:pt>
                <c:pt idx="65">
                  <c:v>824.144362</c:v>
                </c:pt>
                <c:pt idx="66">
                  <c:v>824.144362</c:v>
                </c:pt>
                <c:pt idx="67">
                  <c:v>824.52036200000009</c:v>
                </c:pt>
                <c:pt idx="68">
                  <c:v>824.52036200000009</c:v>
                </c:pt>
                <c:pt idx="69">
                  <c:v>824.52036200000009</c:v>
                </c:pt>
                <c:pt idx="70">
                  <c:v>824.52036200000009</c:v>
                </c:pt>
                <c:pt idx="71">
                  <c:v>838.12522916499995</c:v>
                </c:pt>
                <c:pt idx="72">
                  <c:v>838.12522916499995</c:v>
                </c:pt>
                <c:pt idx="73">
                  <c:v>838.12522916499995</c:v>
                </c:pt>
                <c:pt idx="74">
                  <c:v>838.12522916499995</c:v>
                </c:pt>
              </c:numCache>
            </c:numRef>
          </c:val>
          <c:smooth val="0"/>
        </c:ser>
        <c:ser>
          <c:idx val="2"/>
          <c:order val="2"/>
          <c:tx>
            <c:v>Track 2</c:v>
          </c:tx>
          <c:spPr>
            <a:ln>
              <a:solidFill>
                <a:schemeClr val="tx1"/>
              </a:solidFill>
            </a:ln>
          </c:spPr>
          <c:marker>
            <c:symbol val="none"/>
          </c:marker>
          <c:cat>
            <c:numRef>
              <c:f>Time!$N$177:$CJ$177</c:f>
              <c:numCache>
                <c:formatCode>mmm\-yy</c:formatCode>
                <c:ptCount val="75"/>
                <c:pt idx="0">
                  <c:v>39814</c:v>
                </c:pt>
                <c:pt idx="1">
                  <c:v>39845</c:v>
                </c:pt>
                <c:pt idx="2">
                  <c:v>39873</c:v>
                </c:pt>
                <c:pt idx="3">
                  <c:v>39904</c:v>
                </c:pt>
                <c:pt idx="4">
                  <c:v>39934</c:v>
                </c:pt>
                <c:pt idx="5">
                  <c:v>39965</c:v>
                </c:pt>
                <c:pt idx="6">
                  <c:v>39995</c:v>
                </c:pt>
                <c:pt idx="7">
                  <c:v>40026</c:v>
                </c:pt>
                <c:pt idx="8">
                  <c:v>40057</c:v>
                </c:pt>
                <c:pt idx="9">
                  <c:v>40087</c:v>
                </c:pt>
                <c:pt idx="10">
                  <c:v>40118</c:v>
                </c:pt>
                <c:pt idx="11">
                  <c:v>40148</c:v>
                </c:pt>
                <c:pt idx="12">
                  <c:v>40179</c:v>
                </c:pt>
                <c:pt idx="13">
                  <c:v>40210</c:v>
                </c:pt>
                <c:pt idx="14">
                  <c:v>40238</c:v>
                </c:pt>
                <c:pt idx="15">
                  <c:v>40269</c:v>
                </c:pt>
                <c:pt idx="16">
                  <c:v>40299</c:v>
                </c:pt>
                <c:pt idx="17">
                  <c:v>40330</c:v>
                </c:pt>
                <c:pt idx="18">
                  <c:v>40360</c:v>
                </c:pt>
                <c:pt idx="19">
                  <c:v>40391</c:v>
                </c:pt>
                <c:pt idx="20">
                  <c:v>40422</c:v>
                </c:pt>
                <c:pt idx="21">
                  <c:v>40452</c:v>
                </c:pt>
                <c:pt idx="22">
                  <c:v>40483</c:v>
                </c:pt>
                <c:pt idx="23">
                  <c:v>40513</c:v>
                </c:pt>
                <c:pt idx="24">
                  <c:v>40544</c:v>
                </c:pt>
                <c:pt idx="25">
                  <c:v>40575</c:v>
                </c:pt>
                <c:pt idx="26">
                  <c:v>40603</c:v>
                </c:pt>
                <c:pt idx="27">
                  <c:v>40634</c:v>
                </c:pt>
                <c:pt idx="28">
                  <c:v>40664</c:v>
                </c:pt>
                <c:pt idx="29">
                  <c:v>40695</c:v>
                </c:pt>
                <c:pt idx="30">
                  <c:v>40725</c:v>
                </c:pt>
                <c:pt idx="31">
                  <c:v>40756</c:v>
                </c:pt>
                <c:pt idx="32">
                  <c:v>40787</c:v>
                </c:pt>
                <c:pt idx="33">
                  <c:v>40817</c:v>
                </c:pt>
                <c:pt idx="34">
                  <c:v>40848</c:v>
                </c:pt>
                <c:pt idx="35">
                  <c:v>40878</c:v>
                </c:pt>
                <c:pt idx="36">
                  <c:v>40909</c:v>
                </c:pt>
                <c:pt idx="37">
                  <c:v>40940</c:v>
                </c:pt>
                <c:pt idx="38">
                  <c:v>40969</c:v>
                </c:pt>
                <c:pt idx="39">
                  <c:v>41000</c:v>
                </c:pt>
                <c:pt idx="40">
                  <c:v>41030</c:v>
                </c:pt>
                <c:pt idx="41">
                  <c:v>41061</c:v>
                </c:pt>
                <c:pt idx="42">
                  <c:v>41091</c:v>
                </c:pt>
                <c:pt idx="43">
                  <c:v>41122</c:v>
                </c:pt>
                <c:pt idx="44">
                  <c:v>41153</c:v>
                </c:pt>
                <c:pt idx="45">
                  <c:v>41183</c:v>
                </c:pt>
                <c:pt idx="46">
                  <c:v>41214</c:v>
                </c:pt>
                <c:pt idx="47">
                  <c:v>41244</c:v>
                </c:pt>
                <c:pt idx="48">
                  <c:v>41275</c:v>
                </c:pt>
                <c:pt idx="49">
                  <c:v>41306</c:v>
                </c:pt>
                <c:pt idx="50">
                  <c:v>41334</c:v>
                </c:pt>
                <c:pt idx="51">
                  <c:v>41365</c:v>
                </c:pt>
                <c:pt idx="52">
                  <c:v>41395</c:v>
                </c:pt>
                <c:pt idx="53">
                  <c:v>41426</c:v>
                </c:pt>
                <c:pt idx="54">
                  <c:v>41456</c:v>
                </c:pt>
                <c:pt idx="55">
                  <c:v>41487</c:v>
                </c:pt>
                <c:pt idx="56">
                  <c:v>41518</c:v>
                </c:pt>
                <c:pt idx="57">
                  <c:v>41548</c:v>
                </c:pt>
                <c:pt idx="58">
                  <c:v>41579</c:v>
                </c:pt>
                <c:pt idx="59">
                  <c:v>41609</c:v>
                </c:pt>
                <c:pt idx="60">
                  <c:v>41640</c:v>
                </c:pt>
                <c:pt idx="61">
                  <c:v>41671</c:v>
                </c:pt>
                <c:pt idx="62">
                  <c:v>41699</c:v>
                </c:pt>
                <c:pt idx="63">
                  <c:v>41730</c:v>
                </c:pt>
                <c:pt idx="64">
                  <c:v>41760</c:v>
                </c:pt>
                <c:pt idx="65">
                  <c:v>41791</c:v>
                </c:pt>
                <c:pt idx="66">
                  <c:v>41821</c:v>
                </c:pt>
                <c:pt idx="67">
                  <c:v>41852</c:v>
                </c:pt>
                <c:pt idx="68">
                  <c:v>41883</c:v>
                </c:pt>
                <c:pt idx="69">
                  <c:v>41913</c:v>
                </c:pt>
                <c:pt idx="70">
                  <c:v>41944</c:v>
                </c:pt>
                <c:pt idx="71">
                  <c:v>41974</c:v>
                </c:pt>
                <c:pt idx="72">
                  <c:v>42005</c:v>
                </c:pt>
                <c:pt idx="73">
                  <c:v>42036</c:v>
                </c:pt>
                <c:pt idx="74">
                  <c:v>42064</c:v>
                </c:pt>
              </c:numCache>
            </c:numRef>
          </c:cat>
          <c:val>
            <c:numRef>
              <c:f>Time!$O$180:$CJ$180</c:f>
              <c:numCache>
                <c:formatCode>0.0</c:formatCode>
                <c:ptCount val="74"/>
                <c:pt idx="0">
                  <c:v>0</c:v>
                </c:pt>
                <c:pt idx="1">
                  <c:v>0.33100000000000002</c:v>
                </c:pt>
                <c:pt idx="2">
                  <c:v>0.65100000000000002</c:v>
                </c:pt>
                <c:pt idx="3">
                  <c:v>0.65100000000000002</c:v>
                </c:pt>
                <c:pt idx="4">
                  <c:v>0.65099999999999991</c:v>
                </c:pt>
                <c:pt idx="5">
                  <c:v>0.65099999999999991</c:v>
                </c:pt>
                <c:pt idx="6">
                  <c:v>0.65099999999999991</c:v>
                </c:pt>
                <c:pt idx="7">
                  <c:v>0.65100000000000002</c:v>
                </c:pt>
                <c:pt idx="8">
                  <c:v>0.67819999999999991</c:v>
                </c:pt>
                <c:pt idx="9">
                  <c:v>0.77799999999999958</c:v>
                </c:pt>
                <c:pt idx="10">
                  <c:v>1.4239999999999999</c:v>
                </c:pt>
                <c:pt idx="11">
                  <c:v>1.4300000000000006</c:v>
                </c:pt>
                <c:pt idx="12">
                  <c:v>1.8320000000000003</c:v>
                </c:pt>
                <c:pt idx="13">
                  <c:v>1.8320000000000003</c:v>
                </c:pt>
                <c:pt idx="14">
                  <c:v>1.8320000000000003</c:v>
                </c:pt>
                <c:pt idx="15">
                  <c:v>1.8320000000000007</c:v>
                </c:pt>
                <c:pt idx="16">
                  <c:v>3.5769999999999991</c:v>
                </c:pt>
                <c:pt idx="17">
                  <c:v>3.5769999999999991</c:v>
                </c:pt>
                <c:pt idx="18">
                  <c:v>3.6529999999999996</c:v>
                </c:pt>
                <c:pt idx="19">
                  <c:v>4.1879999999999997</c:v>
                </c:pt>
                <c:pt idx="20">
                  <c:v>4.1880000000000024</c:v>
                </c:pt>
                <c:pt idx="21">
                  <c:v>4.1879999999999997</c:v>
                </c:pt>
                <c:pt idx="22">
                  <c:v>4.1879999999999997</c:v>
                </c:pt>
                <c:pt idx="23">
                  <c:v>4.734</c:v>
                </c:pt>
                <c:pt idx="24">
                  <c:v>4.734</c:v>
                </c:pt>
                <c:pt idx="25">
                  <c:v>8.3030000000000008</c:v>
                </c:pt>
                <c:pt idx="26">
                  <c:v>8.4939999999999998</c:v>
                </c:pt>
                <c:pt idx="27">
                  <c:v>8.6419999999999995</c:v>
                </c:pt>
                <c:pt idx="28">
                  <c:v>9.1229999999999993</c:v>
                </c:pt>
                <c:pt idx="29">
                  <c:v>9.5850000000000009</c:v>
                </c:pt>
                <c:pt idx="30">
                  <c:v>9.9670000000000005</c:v>
                </c:pt>
                <c:pt idx="31">
                  <c:v>9.9670000000000005</c:v>
                </c:pt>
                <c:pt idx="32">
                  <c:v>10.173</c:v>
                </c:pt>
                <c:pt idx="33">
                  <c:v>10.191000000000001</c:v>
                </c:pt>
                <c:pt idx="34">
                  <c:v>11.613</c:v>
                </c:pt>
                <c:pt idx="35">
                  <c:v>12.678000000000001</c:v>
                </c:pt>
                <c:pt idx="36">
                  <c:v>12.678000000000001</c:v>
                </c:pt>
                <c:pt idx="37">
                  <c:v>16</c:v>
                </c:pt>
                <c:pt idx="38">
                  <c:v>16.625</c:v>
                </c:pt>
                <c:pt idx="39">
                  <c:v>16.625</c:v>
                </c:pt>
                <c:pt idx="40">
                  <c:v>16.782</c:v>
                </c:pt>
                <c:pt idx="41">
                  <c:v>17.253</c:v>
                </c:pt>
                <c:pt idx="42">
                  <c:v>18.844726000000001</c:v>
                </c:pt>
                <c:pt idx="43">
                  <c:v>19.053367999999999</c:v>
                </c:pt>
                <c:pt idx="44">
                  <c:v>19.361999999999998</c:v>
                </c:pt>
                <c:pt idx="45">
                  <c:v>20.001000000000001</c:v>
                </c:pt>
                <c:pt idx="46">
                  <c:v>21.875</c:v>
                </c:pt>
                <c:pt idx="47">
                  <c:v>22.637</c:v>
                </c:pt>
                <c:pt idx="48">
                  <c:v>22.68</c:v>
                </c:pt>
                <c:pt idx="49">
                  <c:v>22.919</c:v>
                </c:pt>
                <c:pt idx="50">
                  <c:v>23.841000000000001</c:v>
                </c:pt>
                <c:pt idx="51">
                  <c:v>23.852</c:v>
                </c:pt>
                <c:pt idx="52">
                  <c:v>24.372388000000001</c:v>
                </c:pt>
                <c:pt idx="53">
                  <c:v>24.608000000000001</c:v>
                </c:pt>
                <c:pt idx="54">
                  <c:v>24.716000000000001</c:v>
                </c:pt>
                <c:pt idx="55">
                  <c:v>25.111999999999998</c:v>
                </c:pt>
                <c:pt idx="56">
                  <c:v>25.385999999999999</c:v>
                </c:pt>
                <c:pt idx="57">
                  <c:v>25.385999999999999</c:v>
                </c:pt>
                <c:pt idx="58">
                  <c:v>25.385999999999999</c:v>
                </c:pt>
                <c:pt idx="59">
                  <c:v>25.385999999999999</c:v>
                </c:pt>
                <c:pt idx="60">
                  <c:v>25.385999999999999</c:v>
                </c:pt>
                <c:pt idx="61">
                  <c:v>25.385999999999999</c:v>
                </c:pt>
                <c:pt idx="62">
                  <c:v>25.385999999999999</c:v>
                </c:pt>
                <c:pt idx="63">
                  <c:v>25.385999999999999</c:v>
                </c:pt>
                <c:pt idx="64">
                  <c:v>25.385999999999999</c:v>
                </c:pt>
                <c:pt idx="65">
                  <c:v>25.385999999999999</c:v>
                </c:pt>
                <c:pt idx="66">
                  <c:v>25.385999999999999</c:v>
                </c:pt>
                <c:pt idx="67">
                  <c:v>25.385999999999999</c:v>
                </c:pt>
                <c:pt idx="68">
                  <c:v>25.385999999999999</c:v>
                </c:pt>
                <c:pt idx="69">
                  <c:v>25.385999999999999</c:v>
                </c:pt>
                <c:pt idx="70">
                  <c:v>25.385999999999999</c:v>
                </c:pt>
                <c:pt idx="71">
                  <c:v>25.385999999999999</c:v>
                </c:pt>
                <c:pt idx="72">
                  <c:v>25.385999999999999</c:v>
                </c:pt>
                <c:pt idx="73">
                  <c:v>25.385999999999999</c:v>
                </c:pt>
              </c:numCache>
            </c:numRef>
          </c:val>
          <c:smooth val="0"/>
        </c:ser>
        <c:dLbls>
          <c:showLegendKey val="0"/>
          <c:showVal val="0"/>
          <c:showCatName val="0"/>
          <c:showSerName val="0"/>
          <c:showPercent val="0"/>
          <c:showBubbleSize val="0"/>
        </c:dLbls>
        <c:marker val="1"/>
        <c:smooth val="0"/>
        <c:axId val="120530048"/>
        <c:axId val="120531584"/>
      </c:lineChart>
      <c:dateAx>
        <c:axId val="120530048"/>
        <c:scaling>
          <c:orientation val="minMax"/>
        </c:scaling>
        <c:delete val="0"/>
        <c:axPos val="b"/>
        <c:numFmt formatCode="mmm\-yy" sourceLinked="1"/>
        <c:majorTickMark val="none"/>
        <c:minorTickMark val="none"/>
        <c:tickLblPos val="nextTo"/>
        <c:crossAx val="120531584"/>
        <c:crosses val="autoZero"/>
        <c:auto val="1"/>
        <c:lblOffset val="100"/>
        <c:baseTimeUnit val="months"/>
        <c:majorUnit val="3"/>
        <c:majorTimeUnit val="months"/>
        <c:minorUnit val="1"/>
        <c:minorTimeUnit val="months"/>
      </c:dateAx>
      <c:valAx>
        <c:axId val="120531584"/>
        <c:scaling>
          <c:orientation val="minMax"/>
          <c:max val="900"/>
          <c:min val="0"/>
        </c:scaling>
        <c:delete val="0"/>
        <c:axPos val="l"/>
        <c:majorGridlines/>
        <c:title>
          <c:tx>
            <c:rich>
              <a:bodyPr/>
              <a:lstStyle/>
              <a:p>
                <a:pPr>
                  <a:defRPr sz="1200"/>
                </a:pPr>
                <a:r>
                  <a:rPr lang="en-US" sz="1200"/>
                  <a:t>MERUs</a:t>
                </a:r>
              </a:p>
            </c:rich>
          </c:tx>
          <c:overlay val="0"/>
        </c:title>
        <c:numFmt formatCode="0.0" sourceLinked="1"/>
        <c:majorTickMark val="none"/>
        <c:minorTickMark val="none"/>
        <c:tickLblPos val="nextTo"/>
        <c:crossAx val="12053004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Number of JI projects visible on the UNFCCC web site each month
</a:t>
            </a:r>
          </a:p>
        </c:rich>
      </c:tx>
      <c:layout>
        <c:manualLayout>
          <c:xMode val="edge"/>
          <c:yMode val="edge"/>
          <c:x val="0.10626662817591474"/>
          <c:y val="2.9916345563187601E-2"/>
        </c:manualLayout>
      </c:layout>
      <c:overlay val="0"/>
      <c:spPr>
        <a:noFill/>
        <a:ln w="25400">
          <a:noFill/>
        </a:ln>
      </c:spPr>
    </c:title>
    <c:autoTitleDeleted val="0"/>
    <c:plotArea>
      <c:layout>
        <c:manualLayout>
          <c:layoutTarget val="inner"/>
          <c:xMode val="edge"/>
          <c:yMode val="edge"/>
          <c:x val="9.8300101867797501E-2"/>
          <c:y val="0.17876359335472528"/>
          <c:w val="0.77999581910668525"/>
          <c:h val="0.51456083765717764"/>
        </c:manualLayout>
      </c:layout>
      <c:barChart>
        <c:barDir val="col"/>
        <c:grouping val="stacked"/>
        <c:varyColors val="0"/>
        <c:ser>
          <c:idx val="0"/>
          <c:order val="0"/>
          <c:tx>
            <c:strRef>
              <c:f>Time!$A$2</c:f>
              <c:strCache>
                <c:ptCount val="1"/>
                <c:pt idx="0">
                  <c:v>New projects</c:v>
                </c:pt>
              </c:strCache>
            </c:strRef>
          </c:tx>
          <c:spPr>
            <a:solidFill>
              <a:srgbClr val="9999FF"/>
            </a:solidFill>
            <a:ln w="12700">
              <a:solidFill>
                <a:srgbClr val="000000"/>
              </a:solidFill>
              <a:prstDash val="solid"/>
            </a:ln>
          </c:spPr>
          <c:invertIfNegative val="0"/>
          <c:cat>
            <c:numRef>
              <c:f>Time!$W$1:$DR$1</c:f>
              <c:numCache>
                <c:formatCode>mmm\-yy</c:formatCode>
                <c:ptCount val="100"/>
                <c:pt idx="0">
                  <c:v>38991</c:v>
                </c:pt>
                <c:pt idx="1">
                  <c:v>39022</c:v>
                </c:pt>
                <c:pt idx="2">
                  <c:v>39052</c:v>
                </c:pt>
                <c:pt idx="3">
                  <c:v>39083</c:v>
                </c:pt>
                <c:pt idx="4">
                  <c:v>39114</c:v>
                </c:pt>
                <c:pt idx="5">
                  <c:v>39142</c:v>
                </c:pt>
                <c:pt idx="6">
                  <c:v>39173</c:v>
                </c:pt>
                <c:pt idx="7">
                  <c:v>39203</c:v>
                </c:pt>
                <c:pt idx="8">
                  <c:v>39234</c:v>
                </c:pt>
                <c:pt idx="9">
                  <c:v>39264</c:v>
                </c:pt>
                <c:pt idx="10">
                  <c:v>39295</c:v>
                </c:pt>
                <c:pt idx="11">
                  <c:v>39326</c:v>
                </c:pt>
                <c:pt idx="12">
                  <c:v>39356</c:v>
                </c:pt>
                <c:pt idx="13">
                  <c:v>39387</c:v>
                </c:pt>
                <c:pt idx="14">
                  <c:v>39417</c:v>
                </c:pt>
                <c:pt idx="15">
                  <c:v>39448</c:v>
                </c:pt>
                <c:pt idx="16">
                  <c:v>39479</c:v>
                </c:pt>
                <c:pt idx="17">
                  <c:v>39508</c:v>
                </c:pt>
                <c:pt idx="18">
                  <c:v>39539</c:v>
                </c:pt>
                <c:pt idx="19">
                  <c:v>39569</c:v>
                </c:pt>
                <c:pt idx="20">
                  <c:v>39600</c:v>
                </c:pt>
                <c:pt idx="21">
                  <c:v>39630</c:v>
                </c:pt>
                <c:pt idx="22">
                  <c:v>39661</c:v>
                </c:pt>
                <c:pt idx="23">
                  <c:v>39692</c:v>
                </c:pt>
                <c:pt idx="24">
                  <c:v>39722</c:v>
                </c:pt>
                <c:pt idx="25">
                  <c:v>39753</c:v>
                </c:pt>
                <c:pt idx="26">
                  <c:v>39783</c:v>
                </c:pt>
                <c:pt idx="27">
                  <c:v>39814</c:v>
                </c:pt>
                <c:pt idx="28">
                  <c:v>39845</c:v>
                </c:pt>
                <c:pt idx="29">
                  <c:v>39873</c:v>
                </c:pt>
                <c:pt idx="30">
                  <c:v>39904</c:v>
                </c:pt>
                <c:pt idx="31">
                  <c:v>39934</c:v>
                </c:pt>
                <c:pt idx="32">
                  <c:v>39965</c:v>
                </c:pt>
                <c:pt idx="33">
                  <c:v>39995</c:v>
                </c:pt>
                <c:pt idx="34">
                  <c:v>40026</c:v>
                </c:pt>
                <c:pt idx="35">
                  <c:v>40057</c:v>
                </c:pt>
                <c:pt idx="36">
                  <c:v>40087</c:v>
                </c:pt>
                <c:pt idx="37">
                  <c:v>40118</c:v>
                </c:pt>
                <c:pt idx="38">
                  <c:v>40148</c:v>
                </c:pt>
                <c:pt idx="39">
                  <c:v>40179</c:v>
                </c:pt>
                <c:pt idx="40">
                  <c:v>40210</c:v>
                </c:pt>
                <c:pt idx="41">
                  <c:v>40238</c:v>
                </c:pt>
                <c:pt idx="42">
                  <c:v>40269</c:v>
                </c:pt>
                <c:pt idx="43">
                  <c:v>40299</c:v>
                </c:pt>
                <c:pt idx="44">
                  <c:v>40330</c:v>
                </c:pt>
                <c:pt idx="45">
                  <c:v>40360</c:v>
                </c:pt>
                <c:pt idx="46">
                  <c:v>40391</c:v>
                </c:pt>
                <c:pt idx="47">
                  <c:v>40422</c:v>
                </c:pt>
                <c:pt idx="48">
                  <c:v>40452</c:v>
                </c:pt>
                <c:pt idx="49">
                  <c:v>40483</c:v>
                </c:pt>
                <c:pt idx="50">
                  <c:v>40513</c:v>
                </c:pt>
                <c:pt idx="51">
                  <c:v>40544</c:v>
                </c:pt>
                <c:pt idx="52">
                  <c:v>40575</c:v>
                </c:pt>
                <c:pt idx="53">
                  <c:v>40603</c:v>
                </c:pt>
                <c:pt idx="54">
                  <c:v>40634</c:v>
                </c:pt>
                <c:pt idx="55">
                  <c:v>40664</c:v>
                </c:pt>
                <c:pt idx="56">
                  <c:v>40695</c:v>
                </c:pt>
                <c:pt idx="57">
                  <c:v>40725</c:v>
                </c:pt>
                <c:pt idx="58">
                  <c:v>40756</c:v>
                </c:pt>
                <c:pt idx="59">
                  <c:v>40787</c:v>
                </c:pt>
                <c:pt idx="60">
                  <c:v>40817</c:v>
                </c:pt>
                <c:pt idx="61">
                  <c:v>40848</c:v>
                </c:pt>
                <c:pt idx="62">
                  <c:v>40878</c:v>
                </c:pt>
                <c:pt idx="63">
                  <c:v>40909</c:v>
                </c:pt>
                <c:pt idx="64">
                  <c:v>40940</c:v>
                </c:pt>
                <c:pt idx="65">
                  <c:v>40969</c:v>
                </c:pt>
                <c:pt idx="66">
                  <c:v>41000</c:v>
                </c:pt>
                <c:pt idx="67">
                  <c:v>41030</c:v>
                </c:pt>
                <c:pt idx="68">
                  <c:v>41061</c:v>
                </c:pt>
                <c:pt idx="69">
                  <c:v>41091</c:v>
                </c:pt>
                <c:pt idx="70">
                  <c:v>41122</c:v>
                </c:pt>
                <c:pt idx="71">
                  <c:v>41153</c:v>
                </c:pt>
                <c:pt idx="72">
                  <c:v>41183</c:v>
                </c:pt>
                <c:pt idx="73">
                  <c:v>41214</c:v>
                </c:pt>
                <c:pt idx="74">
                  <c:v>41244</c:v>
                </c:pt>
                <c:pt idx="75">
                  <c:v>41275</c:v>
                </c:pt>
                <c:pt idx="76">
                  <c:v>41306</c:v>
                </c:pt>
                <c:pt idx="77">
                  <c:v>41334</c:v>
                </c:pt>
                <c:pt idx="78">
                  <c:v>41365</c:v>
                </c:pt>
                <c:pt idx="79">
                  <c:v>41395</c:v>
                </c:pt>
                <c:pt idx="80">
                  <c:v>41426</c:v>
                </c:pt>
                <c:pt idx="81">
                  <c:v>41456</c:v>
                </c:pt>
                <c:pt idx="82">
                  <c:v>41487</c:v>
                </c:pt>
                <c:pt idx="83">
                  <c:v>41518</c:v>
                </c:pt>
                <c:pt idx="84">
                  <c:v>41548</c:v>
                </c:pt>
                <c:pt idx="85">
                  <c:v>41579</c:v>
                </c:pt>
                <c:pt idx="86">
                  <c:v>41609</c:v>
                </c:pt>
                <c:pt idx="87">
                  <c:v>41640</c:v>
                </c:pt>
                <c:pt idx="88">
                  <c:v>41671</c:v>
                </c:pt>
                <c:pt idx="89">
                  <c:v>41699</c:v>
                </c:pt>
                <c:pt idx="90">
                  <c:v>41730</c:v>
                </c:pt>
                <c:pt idx="91">
                  <c:v>41760</c:v>
                </c:pt>
                <c:pt idx="92">
                  <c:v>41791</c:v>
                </c:pt>
                <c:pt idx="93">
                  <c:v>41821</c:v>
                </c:pt>
                <c:pt idx="94">
                  <c:v>41852</c:v>
                </c:pt>
                <c:pt idx="95">
                  <c:v>41883</c:v>
                </c:pt>
                <c:pt idx="96">
                  <c:v>41913</c:v>
                </c:pt>
                <c:pt idx="97">
                  <c:v>41944</c:v>
                </c:pt>
                <c:pt idx="98">
                  <c:v>41974</c:v>
                </c:pt>
                <c:pt idx="99">
                  <c:v>42005</c:v>
                </c:pt>
              </c:numCache>
            </c:numRef>
          </c:cat>
          <c:val>
            <c:numRef>
              <c:f>Time!$W$2:$DR$2</c:f>
              <c:numCache>
                <c:formatCode>General</c:formatCode>
                <c:ptCount val="100"/>
                <c:pt idx="0">
                  <c:v>1</c:v>
                </c:pt>
                <c:pt idx="1">
                  <c:v>12</c:v>
                </c:pt>
                <c:pt idx="2">
                  <c:v>10</c:v>
                </c:pt>
                <c:pt idx="3">
                  <c:v>11</c:v>
                </c:pt>
                <c:pt idx="4">
                  <c:v>5</c:v>
                </c:pt>
                <c:pt idx="5">
                  <c:v>8</c:v>
                </c:pt>
                <c:pt idx="6">
                  <c:v>3</c:v>
                </c:pt>
                <c:pt idx="7">
                  <c:v>5</c:v>
                </c:pt>
                <c:pt idx="8">
                  <c:v>8</c:v>
                </c:pt>
                <c:pt idx="9">
                  <c:v>12</c:v>
                </c:pt>
                <c:pt idx="10">
                  <c:v>1</c:v>
                </c:pt>
                <c:pt idx="11">
                  <c:v>4</c:v>
                </c:pt>
                <c:pt idx="12">
                  <c:v>9</c:v>
                </c:pt>
                <c:pt idx="13">
                  <c:v>8</c:v>
                </c:pt>
                <c:pt idx="14">
                  <c:v>8</c:v>
                </c:pt>
                <c:pt idx="15">
                  <c:v>7</c:v>
                </c:pt>
                <c:pt idx="16">
                  <c:v>2</c:v>
                </c:pt>
                <c:pt idx="17">
                  <c:v>13</c:v>
                </c:pt>
                <c:pt idx="18">
                  <c:v>6</c:v>
                </c:pt>
                <c:pt idx="19">
                  <c:v>5</c:v>
                </c:pt>
                <c:pt idx="20">
                  <c:v>8</c:v>
                </c:pt>
                <c:pt idx="21">
                  <c:v>15</c:v>
                </c:pt>
                <c:pt idx="22">
                  <c:v>7</c:v>
                </c:pt>
                <c:pt idx="23">
                  <c:v>4</c:v>
                </c:pt>
                <c:pt idx="24">
                  <c:v>4</c:v>
                </c:pt>
                <c:pt idx="25">
                  <c:v>6</c:v>
                </c:pt>
                <c:pt idx="26">
                  <c:v>4</c:v>
                </c:pt>
                <c:pt idx="28">
                  <c:v>3</c:v>
                </c:pt>
                <c:pt idx="29">
                  <c:v>5</c:v>
                </c:pt>
                <c:pt idx="30">
                  <c:v>5</c:v>
                </c:pt>
                <c:pt idx="31">
                  <c:v>2</c:v>
                </c:pt>
                <c:pt idx="32">
                  <c:v>2</c:v>
                </c:pt>
                <c:pt idx="33">
                  <c:v>6</c:v>
                </c:pt>
                <c:pt idx="34">
                  <c:v>11</c:v>
                </c:pt>
                <c:pt idx="35">
                  <c:v>25</c:v>
                </c:pt>
                <c:pt idx="36">
                  <c:v>5</c:v>
                </c:pt>
                <c:pt idx="37">
                  <c:v>3</c:v>
                </c:pt>
                <c:pt idx="38">
                  <c:v>13</c:v>
                </c:pt>
                <c:pt idx="39">
                  <c:v>32</c:v>
                </c:pt>
                <c:pt idx="40">
                  <c:v>9</c:v>
                </c:pt>
                <c:pt idx="41">
                  <c:v>1</c:v>
                </c:pt>
                <c:pt idx="42">
                  <c:v>12</c:v>
                </c:pt>
                <c:pt idx="43">
                  <c:v>11</c:v>
                </c:pt>
                <c:pt idx="44">
                  <c:v>13</c:v>
                </c:pt>
                <c:pt idx="45">
                  <c:v>6</c:v>
                </c:pt>
                <c:pt idx="46">
                  <c:v>8</c:v>
                </c:pt>
                <c:pt idx="47">
                  <c:v>12</c:v>
                </c:pt>
                <c:pt idx="48">
                  <c:v>5</c:v>
                </c:pt>
                <c:pt idx="49">
                  <c:v>7</c:v>
                </c:pt>
                <c:pt idx="50">
                  <c:v>11</c:v>
                </c:pt>
                <c:pt idx="51">
                  <c:v>7</c:v>
                </c:pt>
                <c:pt idx="52">
                  <c:v>5</c:v>
                </c:pt>
                <c:pt idx="53">
                  <c:v>24</c:v>
                </c:pt>
                <c:pt idx="54">
                  <c:v>8</c:v>
                </c:pt>
                <c:pt idx="55">
                  <c:v>5</c:v>
                </c:pt>
                <c:pt idx="56">
                  <c:v>6</c:v>
                </c:pt>
                <c:pt idx="57">
                  <c:v>13</c:v>
                </c:pt>
                <c:pt idx="58">
                  <c:v>5</c:v>
                </c:pt>
                <c:pt idx="59">
                  <c:v>16</c:v>
                </c:pt>
                <c:pt idx="60">
                  <c:v>13</c:v>
                </c:pt>
                <c:pt idx="61">
                  <c:v>16</c:v>
                </c:pt>
                <c:pt idx="62">
                  <c:v>22</c:v>
                </c:pt>
                <c:pt idx="63">
                  <c:v>10</c:v>
                </c:pt>
                <c:pt idx="64">
                  <c:v>3</c:v>
                </c:pt>
                <c:pt idx="65">
                  <c:v>15</c:v>
                </c:pt>
                <c:pt idx="66">
                  <c:v>7</c:v>
                </c:pt>
                <c:pt idx="67">
                  <c:v>6</c:v>
                </c:pt>
                <c:pt idx="68">
                  <c:v>4</c:v>
                </c:pt>
                <c:pt idx="69">
                  <c:v>21</c:v>
                </c:pt>
                <c:pt idx="70">
                  <c:v>18</c:v>
                </c:pt>
                <c:pt idx="71">
                  <c:v>8</c:v>
                </c:pt>
                <c:pt idx="72">
                  <c:v>45</c:v>
                </c:pt>
                <c:pt idx="73">
                  <c:v>29</c:v>
                </c:pt>
                <c:pt idx="74">
                  <c:v>63</c:v>
                </c:pt>
                <c:pt idx="75">
                  <c:v>18</c:v>
                </c:pt>
                <c:pt idx="76">
                  <c:v>1</c:v>
                </c:pt>
                <c:pt idx="78">
                  <c:v>2</c:v>
                </c:pt>
                <c:pt idx="79">
                  <c:v>1</c:v>
                </c:pt>
                <c:pt idx="82">
                  <c:v>2</c:v>
                </c:pt>
                <c:pt idx="84">
                  <c:v>1</c:v>
                </c:pt>
                <c:pt idx="86">
                  <c:v>1</c:v>
                </c:pt>
              </c:numCache>
            </c:numRef>
          </c:val>
        </c:ser>
        <c:dLbls>
          <c:showLegendKey val="0"/>
          <c:showVal val="0"/>
          <c:showCatName val="0"/>
          <c:showSerName val="0"/>
          <c:showPercent val="0"/>
          <c:showBubbleSize val="0"/>
        </c:dLbls>
        <c:gapWidth val="150"/>
        <c:overlap val="100"/>
        <c:axId val="120743040"/>
        <c:axId val="120744576"/>
      </c:barChart>
      <c:catAx>
        <c:axId val="120743040"/>
        <c:scaling>
          <c:orientation val="minMax"/>
        </c:scaling>
        <c:delete val="0"/>
        <c:axPos val="b"/>
        <c:numFmt formatCode="mmm\-yy" sourceLinked="1"/>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Arial"/>
                <a:ea typeface="Arial"/>
                <a:cs typeface="Arial"/>
              </a:defRPr>
            </a:pPr>
            <a:endParaRPr lang="en-US"/>
          </a:p>
        </c:txPr>
        <c:crossAx val="120744576"/>
        <c:crosses val="autoZero"/>
        <c:auto val="0"/>
        <c:lblAlgn val="ctr"/>
        <c:lblOffset val="100"/>
        <c:tickLblSkip val="2"/>
        <c:tickMarkSkip val="1"/>
        <c:noMultiLvlLbl val="0"/>
      </c:catAx>
      <c:valAx>
        <c:axId val="120744576"/>
        <c:scaling>
          <c:orientation val="minMax"/>
        </c:scaling>
        <c:delete val="0"/>
        <c:axPos val="l"/>
        <c:title>
          <c:tx>
            <c:rich>
              <a:bodyPr/>
              <a:lstStyle/>
              <a:p>
                <a:pPr>
                  <a:defRPr sz="1000" b="1" i="0" u="none" strike="noStrike" baseline="0">
                    <a:solidFill>
                      <a:srgbClr val="000000"/>
                    </a:solidFill>
                    <a:latin typeface="Arial"/>
                    <a:ea typeface="Arial"/>
                    <a:cs typeface="Arial"/>
                  </a:defRPr>
                </a:pPr>
                <a:r>
                  <a:rPr lang="en-US"/>
                  <a:t>Number of Projects each month</a:t>
                </a:r>
              </a:p>
            </c:rich>
          </c:tx>
          <c:layout>
            <c:manualLayout>
              <c:xMode val="edge"/>
              <c:yMode val="edge"/>
              <c:x val="2.451184752348444E-2"/>
              <c:y val="0.2298312398015620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20743040"/>
        <c:crosses val="autoZero"/>
        <c:crossBetween val="midCat"/>
      </c:valAx>
      <c:spPr>
        <a:solidFill>
          <a:srgbClr val="C0C0C0"/>
        </a:solidFill>
        <a:ln w="12700">
          <a:solidFill>
            <a:srgbClr val="000000"/>
          </a:solidFill>
          <a:prstDash val="solid"/>
        </a:ln>
      </c:spPr>
    </c:plotArea>
    <c:legend>
      <c:legendPos val="r"/>
      <c:legendEntry>
        <c:idx val="0"/>
        <c:txPr>
          <a:bodyPr/>
          <a:lstStyle/>
          <a:p>
            <a:pPr>
              <a:defRPr sz="1200" b="0" i="0" u="none" strike="noStrike" baseline="0">
                <a:solidFill>
                  <a:srgbClr val="000000"/>
                </a:solidFill>
                <a:latin typeface="Arial"/>
                <a:ea typeface="Arial"/>
                <a:cs typeface="Arial"/>
              </a:defRPr>
            </a:pPr>
            <a:endParaRPr lang="en-US"/>
          </a:p>
        </c:txPr>
      </c:legendEntry>
      <c:layout>
        <c:manualLayout>
          <c:xMode val="edge"/>
          <c:yMode val="edge"/>
          <c:x val="4.4247787610619468E-2"/>
          <c:y val="0.82234782255119343"/>
          <c:w val="0.84955752212390001"/>
          <c:h val="0.14377208064569141"/>
        </c:manualLayout>
      </c:layout>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000000000001465" r="0.75000000000001465" t="1" header="0.5" footer="0.5"/>
    <c:pageSetup paperSize="9"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Time span between start of comment period and host country LoA. Distribution of number of JI projects in each month in this interval.</a:t>
            </a:r>
          </a:p>
        </c:rich>
      </c:tx>
      <c:layout>
        <c:manualLayout>
          <c:xMode val="edge"/>
          <c:yMode val="edge"/>
          <c:x val="0.11171080114175355"/>
          <c:y val="3.1325223164585143E-2"/>
        </c:manualLayout>
      </c:layout>
      <c:overlay val="0"/>
      <c:spPr>
        <a:noFill/>
        <a:ln w="25400">
          <a:noFill/>
        </a:ln>
      </c:spPr>
    </c:title>
    <c:autoTitleDeleted val="0"/>
    <c:plotArea>
      <c:layout>
        <c:manualLayout>
          <c:layoutTarget val="inner"/>
          <c:xMode val="edge"/>
          <c:yMode val="edge"/>
          <c:x val="0.13550283524121884"/>
          <c:y val="0.28845867795939811"/>
          <c:w val="0.79053603712825959"/>
          <c:h val="0.49793872824722024"/>
        </c:manualLayout>
      </c:layout>
      <c:barChart>
        <c:barDir val="col"/>
        <c:grouping val="clustered"/>
        <c:varyColors val="0"/>
        <c:ser>
          <c:idx val="1"/>
          <c:order val="0"/>
          <c:spPr>
            <a:solidFill>
              <a:srgbClr val="993366"/>
            </a:solidFill>
            <a:ln w="12700">
              <a:solidFill>
                <a:srgbClr val="000000"/>
              </a:solidFill>
              <a:prstDash val="solid"/>
            </a:ln>
          </c:spPr>
          <c:invertIfNegative val="0"/>
          <c:cat>
            <c:numRef>
              <c:f>Time!$N$11:$BL$11</c:f>
              <c:numCache>
                <c:formatCode>General</c:formatCode>
                <c:ptCount val="51"/>
                <c:pt idx="0">
                  <c:v>-30</c:v>
                </c:pt>
                <c:pt idx="1">
                  <c:v>-29</c:v>
                </c:pt>
                <c:pt idx="2">
                  <c:v>-28</c:v>
                </c:pt>
                <c:pt idx="3">
                  <c:v>-27</c:v>
                </c:pt>
                <c:pt idx="4">
                  <c:v>-26</c:v>
                </c:pt>
                <c:pt idx="5">
                  <c:v>-25</c:v>
                </c:pt>
                <c:pt idx="6">
                  <c:v>-24</c:v>
                </c:pt>
                <c:pt idx="7">
                  <c:v>-23</c:v>
                </c:pt>
                <c:pt idx="8">
                  <c:v>-22</c:v>
                </c:pt>
                <c:pt idx="9">
                  <c:v>-21</c:v>
                </c:pt>
                <c:pt idx="10">
                  <c:v>-20</c:v>
                </c:pt>
                <c:pt idx="11">
                  <c:v>-19</c:v>
                </c:pt>
                <c:pt idx="12">
                  <c:v>-18</c:v>
                </c:pt>
                <c:pt idx="13">
                  <c:v>-17</c:v>
                </c:pt>
                <c:pt idx="14">
                  <c:v>-16</c:v>
                </c:pt>
                <c:pt idx="15">
                  <c:v>-15</c:v>
                </c:pt>
                <c:pt idx="16">
                  <c:v>-14</c:v>
                </c:pt>
                <c:pt idx="17">
                  <c:v>-13</c:v>
                </c:pt>
                <c:pt idx="18">
                  <c:v>-12</c:v>
                </c:pt>
                <c:pt idx="19">
                  <c:v>-11</c:v>
                </c:pt>
                <c:pt idx="20">
                  <c:v>-10</c:v>
                </c:pt>
                <c:pt idx="21">
                  <c:v>-9</c:v>
                </c:pt>
                <c:pt idx="22">
                  <c:v>-8</c:v>
                </c:pt>
                <c:pt idx="23">
                  <c:v>-7</c:v>
                </c:pt>
                <c:pt idx="24">
                  <c:v>-6</c:v>
                </c:pt>
                <c:pt idx="25">
                  <c:v>-5</c:v>
                </c:pt>
                <c:pt idx="26">
                  <c:v>-4</c:v>
                </c:pt>
                <c:pt idx="27">
                  <c:v>-3</c:v>
                </c:pt>
                <c:pt idx="28">
                  <c:v>-2</c:v>
                </c:pt>
                <c:pt idx="29">
                  <c:v>-1</c:v>
                </c:pt>
                <c:pt idx="30">
                  <c:v>0</c:v>
                </c:pt>
                <c:pt idx="31">
                  <c:v>1</c:v>
                </c:pt>
                <c:pt idx="32">
                  <c:v>2</c:v>
                </c:pt>
                <c:pt idx="33">
                  <c:v>3</c:v>
                </c:pt>
                <c:pt idx="34">
                  <c:v>4</c:v>
                </c:pt>
                <c:pt idx="35">
                  <c:v>5</c:v>
                </c:pt>
                <c:pt idx="36">
                  <c:v>6</c:v>
                </c:pt>
                <c:pt idx="37">
                  <c:v>7</c:v>
                </c:pt>
                <c:pt idx="38">
                  <c:v>8</c:v>
                </c:pt>
                <c:pt idx="39">
                  <c:v>9</c:v>
                </c:pt>
                <c:pt idx="40">
                  <c:v>10</c:v>
                </c:pt>
                <c:pt idx="41">
                  <c:v>11</c:v>
                </c:pt>
                <c:pt idx="42">
                  <c:v>12</c:v>
                </c:pt>
                <c:pt idx="43">
                  <c:v>13</c:v>
                </c:pt>
                <c:pt idx="44">
                  <c:v>14</c:v>
                </c:pt>
                <c:pt idx="45">
                  <c:v>15</c:v>
                </c:pt>
                <c:pt idx="46">
                  <c:v>16</c:v>
                </c:pt>
                <c:pt idx="47">
                  <c:v>17</c:v>
                </c:pt>
                <c:pt idx="48">
                  <c:v>18</c:v>
                </c:pt>
                <c:pt idx="49">
                  <c:v>19</c:v>
                </c:pt>
                <c:pt idx="50">
                  <c:v>20</c:v>
                </c:pt>
              </c:numCache>
            </c:numRef>
          </c:cat>
          <c:val>
            <c:numRef>
              <c:f>Time!$N$12:$BL$12</c:f>
              <c:numCache>
                <c:formatCode>General</c:formatCode>
                <c:ptCount val="51"/>
                <c:pt idx="0">
                  <c:v>32</c:v>
                </c:pt>
                <c:pt idx="9">
                  <c:v>1</c:v>
                </c:pt>
                <c:pt idx="12">
                  <c:v>2</c:v>
                </c:pt>
                <c:pt idx="13">
                  <c:v>2</c:v>
                </c:pt>
                <c:pt idx="15">
                  <c:v>2</c:v>
                </c:pt>
                <c:pt idx="17">
                  <c:v>2</c:v>
                </c:pt>
                <c:pt idx="18">
                  <c:v>1</c:v>
                </c:pt>
                <c:pt idx="19">
                  <c:v>3</c:v>
                </c:pt>
                <c:pt idx="20">
                  <c:v>3</c:v>
                </c:pt>
                <c:pt idx="21">
                  <c:v>5</c:v>
                </c:pt>
                <c:pt idx="22">
                  <c:v>4</c:v>
                </c:pt>
                <c:pt idx="23">
                  <c:v>15</c:v>
                </c:pt>
                <c:pt idx="24">
                  <c:v>7</c:v>
                </c:pt>
                <c:pt idx="25">
                  <c:v>7</c:v>
                </c:pt>
                <c:pt idx="26">
                  <c:v>9</c:v>
                </c:pt>
                <c:pt idx="27">
                  <c:v>10</c:v>
                </c:pt>
                <c:pt idx="28">
                  <c:v>34</c:v>
                </c:pt>
                <c:pt idx="29">
                  <c:v>97</c:v>
                </c:pt>
                <c:pt idx="30">
                  <c:v>119</c:v>
                </c:pt>
                <c:pt idx="32">
                  <c:v>5</c:v>
                </c:pt>
                <c:pt idx="33">
                  <c:v>2</c:v>
                </c:pt>
                <c:pt idx="34">
                  <c:v>4</c:v>
                </c:pt>
                <c:pt idx="35">
                  <c:v>4</c:v>
                </c:pt>
                <c:pt idx="36">
                  <c:v>4</c:v>
                </c:pt>
                <c:pt idx="37">
                  <c:v>4</c:v>
                </c:pt>
                <c:pt idx="38">
                  <c:v>4</c:v>
                </c:pt>
                <c:pt idx="39">
                  <c:v>4</c:v>
                </c:pt>
                <c:pt idx="40">
                  <c:v>10</c:v>
                </c:pt>
                <c:pt idx="41">
                  <c:v>4</c:v>
                </c:pt>
                <c:pt idx="42">
                  <c:v>7</c:v>
                </c:pt>
                <c:pt idx="43">
                  <c:v>2</c:v>
                </c:pt>
                <c:pt idx="44">
                  <c:v>8</c:v>
                </c:pt>
                <c:pt idx="45">
                  <c:v>5</c:v>
                </c:pt>
                <c:pt idx="46">
                  <c:v>3</c:v>
                </c:pt>
                <c:pt idx="47">
                  <c:v>3</c:v>
                </c:pt>
                <c:pt idx="48">
                  <c:v>2</c:v>
                </c:pt>
                <c:pt idx="49">
                  <c:v>4</c:v>
                </c:pt>
                <c:pt idx="50">
                  <c:v>2</c:v>
                </c:pt>
              </c:numCache>
            </c:numRef>
          </c:val>
        </c:ser>
        <c:dLbls>
          <c:showLegendKey val="0"/>
          <c:showVal val="0"/>
          <c:showCatName val="0"/>
          <c:showSerName val="0"/>
          <c:showPercent val="0"/>
          <c:showBubbleSize val="0"/>
        </c:dLbls>
        <c:gapWidth val="150"/>
        <c:axId val="121257344"/>
        <c:axId val="121288192"/>
      </c:barChart>
      <c:catAx>
        <c:axId val="121257344"/>
        <c:scaling>
          <c:orientation val="minMax"/>
        </c:scaling>
        <c:delete val="0"/>
        <c:axPos val="b"/>
        <c:title>
          <c:tx>
            <c:rich>
              <a:bodyPr/>
              <a:lstStyle/>
              <a:p>
                <a:pPr>
                  <a:defRPr sz="1200" b="1" i="0" u="none" strike="noStrike" baseline="0">
                    <a:solidFill>
                      <a:srgbClr val="000000"/>
                    </a:solidFill>
                    <a:latin typeface="Arial"/>
                    <a:ea typeface="Arial"/>
                    <a:cs typeface="Arial"/>
                  </a:defRPr>
                </a:pPr>
                <a:r>
                  <a:rPr lang="en-US"/>
                  <a:t>Number of months</a:t>
                </a:r>
              </a:p>
            </c:rich>
          </c:tx>
          <c:layout>
            <c:manualLayout>
              <c:xMode val="edge"/>
              <c:yMode val="edge"/>
              <c:x val="0.40474942252963919"/>
              <c:y val="0.8939759393828986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21288192"/>
        <c:crosses val="autoZero"/>
        <c:auto val="1"/>
        <c:lblAlgn val="ctr"/>
        <c:lblOffset val="100"/>
        <c:tickLblSkip val="4"/>
        <c:tickMarkSkip val="1"/>
        <c:noMultiLvlLbl val="0"/>
      </c:catAx>
      <c:valAx>
        <c:axId val="121288192"/>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Number of JI projects</a:t>
                </a:r>
              </a:p>
            </c:rich>
          </c:tx>
          <c:layout>
            <c:manualLayout>
              <c:xMode val="edge"/>
              <c:yMode val="edge"/>
              <c:x val="2.5904022937165271E-2"/>
              <c:y val="0.3397591239398897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21257344"/>
        <c:crosses val="autoZero"/>
        <c:crossBetween val="midCat"/>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29</xdr:col>
      <xdr:colOff>0</xdr:colOff>
      <xdr:row>53</xdr:row>
      <xdr:rowOff>28575</xdr:rowOff>
    </xdr:from>
    <xdr:to>
      <xdr:col>35</xdr:col>
      <xdr:colOff>431800</xdr:colOff>
      <xdr:row>73</xdr:row>
      <xdr:rowOff>152400</xdr:rowOff>
    </xdr:to>
    <xdr:graphicFrame macro="">
      <xdr:nvGraphicFramePr>
        <xdr:cNvPr id="4701" name="Chart 4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9524</xdr:colOff>
      <xdr:row>53</xdr:row>
      <xdr:rowOff>28574</xdr:rowOff>
    </xdr:from>
    <xdr:to>
      <xdr:col>25</xdr:col>
      <xdr:colOff>38099</xdr:colOff>
      <xdr:row>71</xdr:row>
      <xdr:rowOff>152399</xdr:rowOff>
    </xdr:to>
    <xdr:graphicFrame macro="">
      <xdr:nvGraphicFramePr>
        <xdr:cNvPr id="4702" name="Chart 8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22224</xdr:colOff>
      <xdr:row>73</xdr:row>
      <xdr:rowOff>161924</xdr:rowOff>
    </xdr:from>
    <xdr:to>
      <xdr:col>25</xdr:col>
      <xdr:colOff>38099</xdr:colOff>
      <xdr:row>94</xdr:row>
      <xdr:rowOff>152399</xdr:rowOff>
    </xdr:to>
    <xdr:graphicFrame macro="">
      <xdr:nvGraphicFramePr>
        <xdr:cNvPr id="4703" name="Chart 8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53975</xdr:colOff>
      <xdr:row>100</xdr:row>
      <xdr:rowOff>47625</xdr:rowOff>
    </xdr:from>
    <xdr:to>
      <xdr:col>26</xdr:col>
      <xdr:colOff>231775</xdr:colOff>
      <xdr:row>121</xdr:row>
      <xdr:rowOff>25400</xdr:rowOff>
    </xdr:to>
    <xdr:graphicFrame macro="">
      <xdr:nvGraphicFramePr>
        <xdr:cNvPr id="4704" name="Chart 8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29</xdr:col>
      <xdr:colOff>28575</xdr:colOff>
      <xdr:row>75</xdr:row>
      <xdr:rowOff>28574</xdr:rowOff>
    </xdr:from>
    <xdr:to>
      <xdr:col>35</xdr:col>
      <xdr:colOff>457200</xdr:colOff>
      <xdr:row>97</xdr:row>
      <xdr:rowOff>139699</xdr:rowOff>
    </xdr:to>
    <xdr:graphicFrame macro="">
      <xdr:nvGraphicFramePr>
        <xdr:cNvPr id="4705" name="Chart 9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29</xdr:col>
      <xdr:colOff>3174</xdr:colOff>
      <xdr:row>100</xdr:row>
      <xdr:rowOff>38100</xdr:rowOff>
    </xdr:from>
    <xdr:to>
      <xdr:col>36</xdr:col>
      <xdr:colOff>203200</xdr:colOff>
      <xdr:row>127</xdr:row>
      <xdr:rowOff>50800</xdr:rowOff>
    </xdr:to>
    <xdr:graphicFrame macro="">
      <xdr:nvGraphicFramePr>
        <xdr:cNvPr id="4706" name="Chart 9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508000</xdr:colOff>
      <xdr:row>1</xdr:row>
      <xdr:rowOff>152400</xdr:rowOff>
    </xdr:from>
    <xdr:to>
      <xdr:col>16</xdr:col>
      <xdr:colOff>584200</xdr:colOff>
      <xdr:row>21</xdr:row>
      <xdr:rowOff>12700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228600</xdr:colOff>
      <xdr:row>6</xdr:row>
      <xdr:rowOff>76200</xdr:rowOff>
    </xdr:from>
    <xdr:to>
      <xdr:col>12</xdr:col>
      <xdr:colOff>447675</xdr:colOff>
      <xdr:row>34</xdr:row>
      <xdr:rowOff>19050</xdr:rowOff>
    </xdr:to>
    <xdr:graphicFrame macro="">
      <xdr:nvGraphicFramePr>
        <xdr:cNvPr id="126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114300</xdr:colOff>
      <xdr:row>42</xdr:row>
      <xdr:rowOff>85725</xdr:rowOff>
    </xdr:from>
    <xdr:to>
      <xdr:col>9</xdr:col>
      <xdr:colOff>504825</xdr:colOff>
      <xdr:row>65</xdr:row>
      <xdr:rowOff>66675</xdr:rowOff>
    </xdr:to>
    <xdr:graphicFrame macro="">
      <xdr:nvGraphicFramePr>
        <xdr:cNvPr id="1262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spPr>
      <a:bodyPr vertOverflow="clip" wrap="square" lIns="18288" tIns="0" rIns="0" bIns="0" upright="1"/>
      <a:lstStyle/>
    </a:spDef>
    <a:ln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pageSetUpPr fitToPage="1"/>
  </sheetPr>
  <dimension ref="A1:AV1291"/>
  <sheetViews>
    <sheetView tabSelected="1" zoomScale="75" zoomScaleNormal="75" workbookViewId="0">
      <pane xSplit="6" ySplit="4" topLeftCell="M643" activePane="bottomRight" state="frozen"/>
      <selection pane="topRight" activeCell="G1" sqref="G1"/>
      <selection pane="bottomLeft" activeCell="A5" sqref="A5"/>
      <selection pane="bottomRight" activeCell="A2" sqref="A2"/>
    </sheetView>
  </sheetViews>
  <sheetFormatPr defaultRowHeight="12.75"/>
  <cols>
    <col min="1" max="1" width="7.85546875" customWidth="1"/>
    <col min="2" max="2" width="12.5703125" customWidth="1"/>
    <col min="3" max="3" width="73.42578125" customWidth="1"/>
    <col min="4" max="4" width="16.85546875" customWidth="1"/>
    <col min="5" max="5" width="18.42578125" customWidth="1"/>
    <col min="6" max="6" width="5.7109375" customWidth="1"/>
    <col min="7" max="7" width="19" customWidth="1"/>
    <col min="8" max="8" width="16.42578125" style="40" customWidth="1"/>
    <col min="9" max="9" width="22.28515625" style="730" customWidth="1"/>
    <col min="10" max="10" width="28" customWidth="1"/>
    <col min="11" max="11" width="19.42578125" customWidth="1"/>
    <col min="12" max="12" width="10.28515625" style="71" customWidth="1"/>
    <col min="13" max="13" width="8.42578125" style="71" customWidth="1"/>
    <col min="14" max="14" width="11" style="71" customWidth="1"/>
    <col min="15" max="15" width="10.85546875" style="71" customWidth="1"/>
    <col min="16" max="16" width="12" customWidth="1"/>
    <col min="17" max="17" width="11.140625" style="32" customWidth="1"/>
    <col min="18" max="19" width="9.7109375" customWidth="1"/>
    <col min="20" max="20" width="13.5703125" style="40" customWidth="1"/>
    <col min="21" max="21" width="10.7109375" style="40" customWidth="1"/>
    <col min="22" max="22" width="10.5703125" customWidth="1"/>
    <col min="23" max="23" width="9.7109375" customWidth="1"/>
    <col min="24" max="24" width="14.42578125" style="40" customWidth="1"/>
    <col min="25" max="25" width="32.5703125" customWidth="1"/>
    <col min="26" max="26" width="37.5703125" customWidth="1"/>
    <col min="27" max="27" width="14" style="40" customWidth="1"/>
    <col min="28" max="28" width="11.42578125" style="40" customWidth="1"/>
    <col min="29" max="29" width="12" style="40" customWidth="1"/>
    <col min="30" max="30" width="13.28515625" style="40" customWidth="1"/>
    <col min="31" max="31" width="12.7109375" style="40" customWidth="1"/>
    <col min="32" max="32" width="10.85546875" style="40" customWidth="1"/>
    <col min="33" max="33" width="12.42578125" customWidth="1"/>
    <col min="34" max="34" width="9.7109375" customWidth="1"/>
    <col min="35" max="35" width="10" customWidth="1"/>
    <col min="36" max="36" width="11.140625" customWidth="1"/>
    <col min="37" max="38" width="9.85546875" customWidth="1"/>
    <col min="39" max="39" width="8.5703125" customWidth="1"/>
    <col min="40" max="40" width="9.85546875" customWidth="1"/>
    <col min="41" max="41" width="104.42578125" customWidth="1"/>
    <col min="42" max="42" width="9.7109375" style="460" customWidth="1"/>
    <col min="43" max="43" width="30.42578125" customWidth="1"/>
  </cols>
  <sheetData>
    <row r="1" spans="1:48" s="25" customFormat="1">
      <c r="C1" s="70">
        <f>+Analysis!B55</f>
        <v>761</v>
      </c>
      <c r="D1" s="70" t="s">
        <v>296</v>
      </c>
      <c r="E1" s="70"/>
      <c r="F1" s="70"/>
      <c r="G1" s="70"/>
      <c r="H1" s="69"/>
      <c r="I1" s="728" t="s">
        <v>1510</v>
      </c>
      <c r="J1" s="25" t="s">
        <v>906</v>
      </c>
      <c r="L1" s="72"/>
      <c r="M1" s="72"/>
      <c r="N1" s="72"/>
      <c r="O1" s="72"/>
      <c r="Q1" s="73"/>
      <c r="R1" s="472"/>
      <c r="S1" s="472"/>
      <c r="T1" s="69"/>
      <c r="U1" s="69"/>
      <c r="X1" s="69"/>
      <c r="AA1" s="69"/>
      <c r="AB1" s="69"/>
      <c r="AC1" s="69"/>
      <c r="AD1" s="69"/>
      <c r="AE1" s="69"/>
      <c r="AF1" s="69"/>
      <c r="AP1" s="460"/>
    </row>
    <row r="2" spans="1:48" s="25" customFormat="1">
      <c r="A2" s="473" t="s">
        <v>4108</v>
      </c>
      <c r="C2" s="70"/>
      <c r="G2" s="472"/>
      <c r="H2" s="69"/>
      <c r="I2" s="728"/>
      <c r="L2" s="72"/>
      <c r="M2" s="72"/>
      <c r="N2" s="72"/>
      <c r="O2" s="389"/>
      <c r="Q2" s="73"/>
      <c r="R2" s="472"/>
      <c r="S2" s="472"/>
      <c r="T2" s="69"/>
      <c r="U2" s="69"/>
      <c r="X2" s="69"/>
      <c r="AA2" s="69"/>
      <c r="AB2" s="69"/>
      <c r="AC2" s="69"/>
      <c r="AD2" s="69"/>
      <c r="AE2" s="69"/>
      <c r="AF2" s="69"/>
      <c r="AP2" s="460"/>
    </row>
    <row r="3" spans="1:48" s="764" customFormat="1" ht="18" customHeight="1">
      <c r="A3" s="759"/>
      <c r="B3" s="778" t="s">
        <v>2803</v>
      </c>
      <c r="C3" s="760"/>
      <c r="D3" s="761"/>
      <c r="E3" s="1107" t="s">
        <v>2804</v>
      </c>
      <c r="F3" s="1107"/>
      <c r="G3" s="1107"/>
      <c r="H3" s="1107"/>
      <c r="I3" s="762"/>
      <c r="J3" s="1108" t="s">
        <v>2805</v>
      </c>
      <c r="K3" s="1108"/>
      <c r="L3" s="763"/>
      <c r="M3" s="763"/>
      <c r="O3" s="765"/>
      <c r="P3" s="766"/>
      <c r="Q3" s="1109" t="s">
        <v>3938</v>
      </c>
      <c r="R3" s="1110"/>
      <c r="S3" s="1110"/>
      <c r="T3" s="1110"/>
      <c r="U3" s="1110"/>
      <c r="V3" s="1110"/>
      <c r="W3" s="1110"/>
      <c r="X3" s="1111"/>
      <c r="Y3" s="767"/>
      <c r="Z3" s="767"/>
      <c r="AA3" s="767"/>
      <c r="AC3" s="768"/>
      <c r="AD3" s="769"/>
      <c r="AE3" s="770"/>
      <c r="AF3" s="770"/>
      <c r="AG3" s="771"/>
      <c r="AH3" s="771"/>
      <c r="AI3" s="772"/>
      <c r="AJ3" s="772"/>
      <c r="AK3" s="772"/>
      <c r="AL3" s="773"/>
      <c r="AM3" s="774"/>
      <c r="AN3" s="775"/>
      <c r="AO3" s="775"/>
      <c r="AP3" s="785"/>
      <c r="AQ3" s="777"/>
      <c r="AR3" s="776"/>
      <c r="AS3" s="773"/>
      <c r="AT3" s="777"/>
    </row>
    <row r="4" spans="1:48" s="25" customFormat="1" ht="53.25" customHeight="1">
      <c r="A4" s="18" t="s">
        <v>1067</v>
      </c>
      <c r="B4" s="336" t="s">
        <v>424</v>
      </c>
      <c r="C4" s="18" t="s">
        <v>690</v>
      </c>
      <c r="D4" s="971" t="s">
        <v>1336</v>
      </c>
      <c r="E4" s="321" t="s">
        <v>158</v>
      </c>
      <c r="F4" s="65" t="s">
        <v>857</v>
      </c>
      <c r="G4" s="754" t="s">
        <v>2755</v>
      </c>
      <c r="H4" s="195" t="s">
        <v>179</v>
      </c>
      <c r="I4" s="289" t="s">
        <v>848</v>
      </c>
      <c r="J4" s="241" t="s">
        <v>1068</v>
      </c>
      <c r="K4" s="18" t="s">
        <v>638</v>
      </c>
      <c r="L4" s="290" t="s">
        <v>548</v>
      </c>
      <c r="M4" s="335" t="s">
        <v>1468</v>
      </c>
      <c r="N4" s="193" t="s">
        <v>1061</v>
      </c>
      <c r="O4" s="18" t="s">
        <v>1060</v>
      </c>
      <c r="P4" s="65" t="s">
        <v>1713</v>
      </c>
      <c r="Q4" s="979" t="s">
        <v>4071</v>
      </c>
      <c r="R4" s="754" t="s">
        <v>4072</v>
      </c>
      <c r="S4" s="754" t="s">
        <v>4073</v>
      </c>
      <c r="T4" s="195" t="s">
        <v>156</v>
      </c>
      <c r="U4" s="406" t="s">
        <v>697</v>
      </c>
      <c r="V4" s="195" t="s">
        <v>679</v>
      </c>
      <c r="W4" s="195" t="s">
        <v>1077</v>
      </c>
      <c r="X4" s="540" t="s">
        <v>1073</v>
      </c>
      <c r="Y4" s="18" t="s">
        <v>854</v>
      </c>
      <c r="Z4" s="65" t="s">
        <v>322</v>
      </c>
      <c r="AA4" s="338" t="s">
        <v>1533</v>
      </c>
      <c r="AB4" s="319" t="s">
        <v>157</v>
      </c>
      <c r="AC4" s="101" t="s">
        <v>870</v>
      </c>
      <c r="AD4" s="320" t="s">
        <v>1316</v>
      </c>
      <c r="AE4" s="320" t="s">
        <v>899</v>
      </c>
      <c r="AF4" s="195" t="s">
        <v>161</v>
      </c>
      <c r="AG4" s="322" t="s">
        <v>77</v>
      </c>
      <c r="AH4" s="65" t="s">
        <v>841</v>
      </c>
      <c r="AI4" s="322" t="s">
        <v>159</v>
      </c>
      <c r="AJ4" s="342" t="s">
        <v>744</v>
      </c>
      <c r="AK4" s="322" t="s">
        <v>569</v>
      </c>
      <c r="AL4" s="342" t="s">
        <v>570</v>
      </c>
      <c r="AM4" s="320" t="s">
        <v>550</v>
      </c>
      <c r="AN4" s="342" t="s">
        <v>1542</v>
      </c>
      <c r="AO4" s="18" t="s">
        <v>1081</v>
      </c>
      <c r="AP4" s="786" t="s">
        <v>2812</v>
      </c>
      <c r="AQ4" s="780" t="s">
        <v>2813</v>
      </c>
    </row>
    <row r="5" spans="1:48" s="474" customFormat="1" ht="24.75" customHeight="1">
      <c r="A5" s="1027" t="s">
        <v>3013</v>
      </c>
      <c r="B5" s="468" t="s">
        <v>3021</v>
      </c>
      <c r="C5" s="1030" t="s">
        <v>3022</v>
      </c>
      <c r="D5" s="449" t="s">
        <v>1396</v>
      </c>
      <c r="E5" s="445" t="s">
        <v>3024</v>
      </c>
      <c r="F5" s="420">
        <v>1</v>
      </c>
      <c r="G5" s="420"/>
      <c r="H5" s="421" t="s">
        <v>968</v>
      </c>
      <c r="I5" s="455" t="s">
        <v>981</v>
      </c>
      <c r="J5" s="513" t="s">
        <v>1173</v>
      </c>
      <c r="K5" s="450" t="s">
        <v>4</v>
      </c>
      <c r="L5" s="1041">
        <v>116.449</v>
      </c>
      <c r="M5" s="1046">
        <v>0</v>
      </c>
      <c r="N5" s="444">
        <v>40520</v>
      </c>
      <c r="O5" s="424">
        <v>240.37700000000001</v>
      </c>
      <c r="P5" s="445" t="s">
        <v>1314</v>
      </c>
      <c r="Q5" s="422">
        <v>218.74100000000001</v>
      </c>
      <c r="R5" s="1053"/>
      <c r="S5" s="1053"/>
      <c r="T5" s="881"/>
      <c r="U5" s="444">
        <v>41274</v>
      </c>
      <c r="V5" s="1058">
        <v>240.55492054794522</v>
      </c>
      <c r="W5" s="419"/>
      <c r="X5" s="543"/>
      <c r="Y5" s="1030" t="s">
        <v>3025</v>
      </c>
      <c r="Z5" s="445" t="s">
        <v>1774</v>
      </c>
      <c r="AA5" s="431">
        <v>41001</v>
      </c>
      <c r="AB5" s="431"/>
      <c r="AC5" s="431">
        <v>40672</v>
      </c>
      <c r="AD5" s="431">
        <v>40884</v>
      </c>
      <c r="AE5" s="431"/>
      <c r="AF5" s="431"/>
      <c r="AG5" s="419"/>
      <c r="AH5" s="419">
        <v>0</v>
      </c>
      <c r="AI5" s="419"/>
      <c r="AJ5" s="740"/>
      <c r="AK5" s="419"/>
      <c r="AL5" s="419"/>
      <c r="AM5" s="419"/>
      <c r="AN5" s="419"/>
      <c r="AO5" s="445"/>
      <c r="AP5" s="463"/>
      <c r="AQ5" s="466"/>
    </row>
    <row r="6" spans="1:48" s="474" customFormat="1" ht="25.5" customHeight="1">
      <c r="A6" s="467" t="s">
        <v>3014</v>
      </c>
      <c r="B6" s="468" t="s">
        <v>3026</v>
      </c>
      <c r="C6" s="445" t="s">
        <v>3023</v>
      </c>
      <c r="D6" s="449" t="s">
        <v>1396</v>
      </c>
      <c r="E6" s="445" t="s">
        <v>3024</v>
      </c>
      <c r="F6" s="420">
        <v>1</v>
      </c>
      <c r="G6" s="420"/>
      <c r="H6" s="421" t="s">
        <v>968</v>
      </c>
      <c r="I6" s="455" t="s">
        <v>981</v>
      </c>
      <c r="J6" s="513" t="s">
        <v>1173</v>
      </c>
      <c r="K6" s="450" t="s">
        <v>4</v>
      </c>
      <c r="L6" s="422">
        <v>82.498000000000005</v>
      </c>
      <c r="M6" s="423">
        <v>0</v>
      </c>
      <c r="N6" s="444">
        <v>40423</v>
      </c>
      <c r="O6" s="424">
        <v>192.267</v>
      </c>
      <c r="P6" s="445" t="s">
        <v>1314</v>
      </c>
      <c r="Q6" s="422">
        <v>181.29300000000001</v>
      </c>
      <c r="R6" s="425"/>
      <c r="S6" s="425"/>
      <c r="T6" s="881"/>
      <c r="U6" s="444">
        <v>41274</v>
      </c>
      <c r="V6" s="425">
        <v>192.34465205479455</v>
      </c>
      <c r="W6" s="419"/>
      <c r="X6" s="543"/>
      <c r="Y6" s="445" t="s">
        <v>3025</v>
      </c>
      <c r="Z6" s="445" t="s">
        <v>1774</v>
      </c>
      <c r="AA6" s="431">
        <v>41001</v>
      </c>
      <c r="AB6" s="431"/>
      <c r="AC6" s="431">
        <v>40739</v>
      </c>
      <c r="AD6" s="431">
        <v>40884</v>
      </c>
      <c r="AE6" s="431"/>
      <c r="AF6" s="431"/>
      <c r="AG6" s="419"/>
      <c r="AH6" s="419">
        <v>0</v>
      </c>
      <c r="AI6" s="419"/>
      <c r="AJ6" s="740"/>
      <c r="AK6" s="419"/>
      <c r="AL6" s="419"/>
      <c r="AM6" s="419"/>
      <c r="AN6" s="419"/>
      <c r="AO6" s="445"/>
      <c r="AP6" s="463"/>
      <c r="AQ6" s="466"/>
    </row>
    <row r="7" spans="1:48" s="474" customFormat="1" ht="13.35" customHeight="1">
      <c r="A7" s="51" t="s">
        <v>914</v>
      </c>
      <c r="B7" s="63">
        <v>40</v>
      </c>
      <c r="C7" s="436" t="s">
        <v>1393</v>
      </c>
      <c r="D7" s="323" t="s">
        <v>573</v>
      </c>
      <c r="E7" s="124"/>
      <c r="F7" s="323">
        <v>2</v>
      </c>
      <c r="G7" s="323"/>
      <c r="H7" s="324" t="s">
        <v>160</v>
      </c>
      <c r="I7" s="325" t="s">
        <v>971</v>
      </c>
      <c r="J7" s="323" t="s">
        <v>1321</v>
      </c>
      <c r="K7" s="324" t="s">
        <v>846</v>
      </c>
      <c r="L7" s="1016">
        <v>53.493000000000002</v>
      </c>
      <c r="M7" s="327"/>
      <c r="N7" s="326">
        <v>39448</v>
      </c>
      <c r="O7" s="1018">
        <v>267.46499999999997</v>
      </c>
      <c r="P7" s="124" t="s">
        <v>1731</v>
      </c>
      <c r="Q7" s="940"/>
      <c r="R7" s="376"/>
      <c r="S7" s="376"/>
      <c r="T7" s="892"/>
      <c r="U7" s="326"/>
      <c r="V7" s="376"/>
      <c r="W7" s="381"/>
      <c r="X7" s="871"/>
      <c r="Y7" s="124" t="s">
        <v>979</v>
      </c>
      <c r="Z7" s="124" t="s">
        <v>1080</v>
      </c>
      <c r="AA7" s="872">
        <v>39148</v>
      </c>
      <c r="AB7" s="872"/>
      <c r="AC7" s="872">
        <v>39000</v>
      </c>
      <c r="AD7" s="872"/>
      <c r="AE7" s="872"/>
      <c r="AF7" s="872" t="s">
        <v>160</v>
      </c>
      <c r="AG7" s="327"/>
      <c r="AH7" s="327">
        <v>16</v>
      </c>
      <c r="AI7" s="376"/>
      <c r="AJ7" s="327"/>
      <c r="AK7" s="327"/>
      <c r="AL7" s="327"/>
      <c r="AM7" s="327"/>
      <c r="AN7" s="327"/>
      <c r="AO7" s="755" t="s">
        <v>2778</v>
      </c>
      <c r="AP7" s="463"/>
      <c r="AQ7" s="51"/>
    </row>
    <row r="8" spans="1:48" s="474" customFormat="1" ht="13.35" customHeight="1">
      <c r="A8" s="51" t="s">
        <v>560</v>
      </c>
      <c r="B8" s="63">
        <v>63</v>
      </c>
      <c r="C8" s="391" t="s">
        <v>1003</v>
      </c>
      <c r="D8" s="392" t="s">
        <v>573</v>
      </c>
      <c r="E8" s="391" t="s">
        <v>1469</v>
      </c>
      <c r="F8" s="392">
        <v>2</v>
      </c>
      <c r="G8" s="392"/>
      <c r="H8" s="393" t="s">
        <v>968</v>
      </c>
      <c r="I8" s="394" t="s">
        <v>971</v>
      </c>
      <c r="J8" s="392" t="s">
        <v>1352</v>
      </c>
      <c r="K8" s="393" t="s">
        <v>680</v>
      </c>
      <c r="L8" s="395">
        <v>74.194000000000003</v>
      </c>
      <c r="M8" s="396">
        <v>19</v>
      </c>
      <c r="N8" s="397">
        <v>39448</v>
      </c>
      <c r="O8" s="398">
        <f>L8*5</f>
        <v>370.97</v>
      </c>
      <c r="P8" s="391" t="s">
        <v>1731</v>
      </c>
      <c r="Q8" s="980">
        <f>5.024+18.796+30.292+22.562+21.506</f>
        <v>98.18</v>
      </c>
      <c r="R8" s="856"/>
      <c r="S8" s="856"/>
      <c r="T8" s="879">
        <v>39448</v>
      </c>
      <c r="U8" s="878">
        <v>41213</v>
      </c>
      <c r="V8" s="399">
        <v>351.22221542503286</v>
      </c>
      <c r="W8" s="400">
        <f t="shared" ref="W8:W23" si="0">Q8/V8</f>
        <v>0.27953812625772295</v>
      </c>
      <c r="X8" s="545" t="s">
        <v>1731</v>
      </c>
      <c r="Y8" s="391" t="s">
        <v>1361</v>
      </c>
      <c r="Z8" s="391" t="s">
        <v>1004</v>
      </c>
      <c r="AA8" s="401">
        <v>39260</v>
      </c>
      <c r="AB8" s="401"/>
      <c r="AC8" s="401">
        <v>39295</v>
      </c>
      <c r="AD8" s="401">
        <v>39567</v>
      </c>
      <c r="AE8" s="401">
        <v>39245</v>
      </c>
      <c r="AF8" s="401" t="s">
        <v>1465</v>
      </c>
      <c r="AG8" s="396"/>
      <c r="AH8" s="396">
        <v>25.65</v>
      </c>
      <c r="AI8" s="399">
        <f>122618/AH8</f>
        <v>4780.4288499025342</v>
      </c>
      <c r="AJ8" s="396">
        <f>72.3/Exch!B11</f>
        <v>85.627673348072818</v>
      </c>
      <c r="AK8" s="423">
        <f>AJ8*1000/L8</f>
        <v>1154.1050940517132</v>
      </c>
      <c r="AL8" s="425">
        <f>AJ8*1000/AH8</f>
        <v>3338.3108517767182</v>
      </c>
      <c r="AM8" s="396"/>
      <c r="AN8" s="396"/>
      <c r="AO8" s="391"/>
      <c r="AP8" s="463"/>
      <c r="AQ8" s="51"/>
    </row>
    <row r="9" spans="1:48" s="474" customFormat="1" ht="24.75" customHeight="1">
      <c r="A9" s="467" t="s">
        <v>1880</v>
      </c>
      <c r="B9" s="59" t="s">
        <v>1852</v>
      </c>
      <c r="C9" s="445" t="s">
        <v>1863</v>
      </c>
      <c r="D9" s="449" t="s">
        <v>573</v>
      </c>
      <c r="E9" s="419" t="s">
        <v>1413</v>
      </c>
      <c r="F9" s="420">
        <v>1</v>
      </c>
      <c r="G9" s="420"/>
      <c r="H9" s="421" t="s">
        <v>968</v>
      </c>
      <c r="I9" s="455" t="s">
        <v>1467</v>
      </c>
      <c r="J9" s="419" t="s">
        <v>1136</v>
      </c>
      <c r="K9" s="490" t="s">
        <v>2001</v>
      </c>
      <c r="L9" s="985">
        <v>83.691999999999993</v>
      </c>
      <c r="M9" s="423">
        <v>0</v>
      </c>
      <c r="N9" s="444">
        <v>39448</v>
      </c>
      <c r="O9" s="985">
        <v>418.45800000000003</v>
      </c>
      <c r="P9" s="445" t="s">
        <v>1084</v>
      </c>
      <c r="Q9" s="422">
        <v>626.83399999999995</v>
      </c>
      <c r="R9" s="425"/>
      <c r="S9" s="425"/>
      <c r="T9" s="881"/>
      <c r="U9" s="444">
        <v>41274</v>
      </c>
      <c r="V9" s="425">
        <v>418.68929315068493</v>
      </c>
      <c r="W9" s="400">
        <f t="shared" si="0"/>
        <v>1.497134056815741</v>
      </c>
      <c r="X9" s="544" t="s">
        <v>1084</v>
      </c>
      <c r="Y9" s="445" t="s">
        <v>1084</v>
      </c>
      <c r="Z9" s="445" t="s">
        <v>1885</v>
      </c>
      <c r="AA9" s="431">
        <v>40323</v>
      </c>
      <c r="AB9" s="431"/>
      <c r="AC9" s="444"/>
      <c r="AD9" s="444">
        <v>39595</v>
      </c>
      <c r="AE9" s="431"/>
      <c r="AF9" s="431"/>
      <c r="AG9" s="423"/>
      <c r="AH9" s="423">
        <v>0</v>
      </c>
      <c r="AI9" s="423"/>
      <c r="AJ9" s="423"/>
      <c r="AK9" s="423"/>
      <c r="AL9" s="423"/>
      <c r="AM9" s="423"/>
      <c r="AN9" s="423"/>
      <c r="AO9" s="419"/>
      <c r="AP9" s="463"/>
      <c r="AQ9" s="51"/>
    </row>
    <row r="10" spans="1:48" s="474" customFormat="1" ht="25.5" customHeight="1">
      <c r="A10" s="466" t="s">
        <v>1843</v>
      </c>
      <c r="B10" s="59" t="s">
        <v>1853</v>
      </c>
      <c r="C10" s="445" t="s">
        <v>1862</v>
      </c>
      <c r="D10" s="449" t="s">
        <v>573</v>
      </c>
      <c r="E10" s="419" t="s">
        <v>1941</v>
      </c>
      <c r="F10" s="420">
        <v>1</v>
      </c>
      <c r="G10" s="420"/>
      <c r="H10" s="421" t="s">
        <v>968</v>
      </c>
      <c r="I10" s="455" t="s">
        <v>256</v>
      </c>
      <c r="J10" s="445" t="s">
        <v>1830</v>
      </c>
      <c r="K10" s="490" t="s">
        <v>2001</v>
      </c>
      <c r="L10" s="750" t="s">
        <v>1871</v>
      </c>
      <c r="M10" s="423">
        <v>0</v>
      </c>
      <c r="N10" s="444">
        <v>39448</v>
      </c>
      <c r="O10" s="751" t="s">
        <v>1872</v>
      </c>
      <c r="P10" s="419" t="s">
        <v>700</v>
      </c>
      <c r="Q10" s="422">
        <v>198.35400000000001</v>
      </c>
      <c r="R10" s="425"/>
      <c r="S10" s="425"/>
      <c r="T10" s="881">
        <v>39899</v>
      </c>
      <c r="U10" s="444">
        <v>41274</v>
      </c>
      <c r="V10" s="425">
        <v>350.1917808219178</v>
      </c>
      <c r="W10" s="400">
        <f t="shared" si="0"/>
        <v>0.56641534971053054</v>
      </c>
      <c r="X10" s="543" t="s">
        <v>1732</v>
      </c>
      <c r="Y10" s="419" t="s">
        <v>731</v>
      </c>
      <c r="Z10" s="419" t="s">
        <v>1883</v>
      </c>
      <c r="AA10" s="444">
        <v>40323</v>
      </c>
      <c r="AB10" s="431"/>
      <c r="AC10" s="431"/>
      <c r="AD10" s="431"/>
      <c r="AE10" s="431"/>
      <c r="AF10" s="431"/>
      <c r="AG10" s="423"/>
      <c r="AH10" s="423">
        <v>0</v>
      </c>
      <c r="AI10" s="423"/>
      <c r="AJ10" s="423"/>
      <c r="AK10" s="423"/>
      <c r="AL10" s="423"/>
      <c r="AM10" s="423"/>
      <c r="AN10" s="423"/>
      <c r="AO10" s="419"/>
      <c r="AP10" s="463"/>
      <c r="AQ10" s="782"/>
    </row>
    <row r="11" spans="1:48" s="474" customFormat="1" ht="13.35" customHeight="1">
      <c r="A11" s="467" t="s">
        <v>1881</v>
      </c>
      <c r="B11" s="883" t="s">
        <v>1854</v>
      </c>
      <c r="C11" s="419" t="s">
        <v>1861</v>
      </c>
      <c r="D11" s="972" t="s">
        <v>573</v>
      </c>
      <c r="E11" s="480" t="s">
        <v>1413</v>
      </c>
      <c r="F11" s="420">
        <v>1</v>
      </c>
      <c r="G11" s="420"/>
      <c r="H11" s="421" t="s">
        <v>968</v>
      </c>
      <c r="I11" s="533" t="s">
        <v>256</v>
      </c>
      <c r="J11" s="445" t="s">
        <v>1830</v>
      </c>
      <c r="K11" s="490" t="s">
        <v>2001</v>
      </c>
      <c r="L11" s="750">
        <f>O11/5</f>
        <v>145.71800000000002</v>
      </c>
      <c r="M11" s="423">
        <v>0</v>
      </c>
      <c r="N11" s="444">
        <v>39448</v>
      </c>
      <c r="O11" s="817">
        <v>728.59</v>
      </c>
      <c r="P11" s="419" t="s">
        <v>700</v>
      </c>
      <c r="Q11" s="845">
        <f>431.612</f>
        <v>431.61200000000002</v>
      </c>
      <c r="R11" s="478"/>
      <c r="S11" s="478"/>
      <c r="T11" s="881">
        <v>39899</v>
      </c>
      <c r="U11" s="444">
        <v>41274</v>
      </c>
      <c r="V11" s="478">
        <v>728.98922739726038</v>
      </c>
      <c r="W11" s="400">
        <f t="shared" si="0"/>
        <v>0.59206910579598238</v>
      </c>
      <c r="X11" s="503" t="s">
        <v>1732</v>
      </c>
      <c r="Y11" s="419" t="s">
        <v>731</v>
      </c>
      <c r="Z11" s="462" t="s">
        <v>1886</v>
      </c>
      <c r="AA11" s="444">
        <v>40323</v>
      </c>
      <c r="AB11" s="805"/>
      <c r="AC11" s="805"/>
      <c r="AD11" s="805"/>
      <c r="AE11" s="805"/>
      <c r="AF11" s="805"/>
      <c r="AG11" s="505"/>
      <c r="AH11" s="505">
        <v>0</v>
      </c>
      <c r="AI11" s="478"/>
      <c r="AJ11" s="505"/>
      <c r="AK11" s="505"/>
      <c r="AL11" s="505"/>
      <c r="AM11" s="505"/>
      <c r="AN11" s="505"/>
      <c r="AO11" s="480"/>
      <c r="AP11" s="818"/>
      <c r="AQ11" s="51"/>
      <c r="AR11" s="62"/>
      <c r="AS11" s="62"/>
      <c r="AT11" s="62"/>
      <c r="AU11" s="62"/>
      <c r="AV11" s="62"/>
    </row>
    <row r="12" spans="1:48" s="474" customFormat="1" ht="24.75" customHeight="1">
      <c r="A12" s="466" t="s">
        <v>1844</v>
      </c>
      <c r="B12" s="488" t="s">
        <v>1855</v>
      </c>
      <c r="C12" s="419" t="s">
        <v>1860</v>
      </c>
      <c r="D12" s="449" t="s">
        <v>573</v>
      </c>
      <c r="E12" s="419" t="s">
        <v>1873</v>
      </c>
      <c r="F12" s="420">
        <v>1</v>
      </c>
      <c r="G12" s="420"/>
      <c r="H12" s="421" t="s">
        <v>968</v>
      </c>
      <c r="I12" s="533" t="s">
        <v>256</v>
      </c>
      <c r="J12" s="445" t="s">
        <v>1830</v>
      </c>
      <c r="K12" s="490" t="s">
        <v>2001</v>
      </c>
      <c r="L12" s="819">
        <f>O12/5</f>
        <v>72.513199999999998</v>
      </c>
      <c r="M12" s="505">
        <v>0</v>
      </c>
      <c r="N12" s="444">
        <v>39448</v>
      </c>
      <c r="O12" s="817">
        <v>362.56599999999997</v>
      </c>
      <c r="P12" s="419" t="s">
        <v>700</v>
      </c>
      <c r="Q12" s="845">
        <f>86.522</f>
        <v>86.522000000000006</v>
      </c>
      <c r="R12" s="478"/>
      <c r="S12" s="478"/>
      <c r="T12" s="881">
        <v>39899</v>
      </c>
      <c r="U12" s="444">
        <v>40543</v>
      </c>
      <c r="V12" s="478">
        <v>217.53960000000001</v>
      </c>
      <c r="W12" s="400">
        <f t="shared" si="0"/>
        <v>0.39772988458193359</v>
      </c>
      <c r="X12" s="503" t="s">
        <v>1732</v>
      </c>
      <c r="Y12" s="419" t="s">
        <v>731</v>
      </c>
      <c r="Z12" s="847" t="s">
        <v>1886</v>
      </c>
      <c r="AA12" s="444">
        <v>40323</v>
      </c>
      <c r="AB12" s="805"/>
      <c r="AC12" s="805"/>
      <c r="AD12" s="805"/>
      <c r="AE12" s="805"/>
      <c r="AF12" s="805"/>
      <c r="AG12" s="505"/>
      <c r="AH12" s="505">
        <v>0</v>
      </c>
      <c r="AI12" s="505"/>
      <c r="AJ12" s="505"/>
      <c r="AK12" s="505"/>
      <c r="AL12" s="505"/>
      <c r="AM12" s="505"/>
      <c r="AN12" s="505"/>
      <c r="AO12" s="480"/>
      <c r="AP12" s="818"/>
      <c r="AQ12" s="51"/>
    </row>
    <row r="13" spans="1:48" s="474" customFormat="1" ht="24.75" customHeight="1">
      <c r="A13" s="467" t="s">
        <v>1882</v>
      </c>
      <c r="B13" s="59" t="s">
        <v>1856</v>
      </c>
      <c r="C13" s="419" t="s">
        <v>1859</v>
      </c>
      <c r="D13" s="449" t="s">
        <v>573</v>
      </c>
      <c r="E13" s="419" t="s">
        <v>1874</v>
      </c>
      <c r="F13" s="420">
        <v>1</v>
      </c>
      <c r="G13" s="420"/>
      <c r="H13" s="421" t="s">
        <v>968</v>
      </c>
      <c r="I13" s="455" t="s">
        <v>1735</v>
      </c>
      <c r="J13" s="445" t="s">
        <v>1888</v>
      </c>
      <c r="K13" s="421" t="s">
        <v>1875</v>
      </c>
      <c r="L13" s="750">
        <v>69.78</v>
      </c>
      <c r="M13" s="423">
        <v>0</v>
      </c>
      <c r="N13" s="444">
        <v>39448</v>
      </c>
      <c r="O13" s="751">
        <f>L13*5</f>
        <v>348.9</v>
      </c>
      <c r="P13" s="419" t="s">
        <v>1732</v>
      </c>
      <c r="Q13" s="422">
        <v>348.92</v>
      </c>
      <c r="R13" s="425"/>
      <c r="S13" s="425"/>
      <c r="T13" s="881">
        <v>40351</v>
      </c>
      <c r="U13" s="444">
        <v>41274</v>
      </c>
      <c r="V13" s="425">
        <v>349.09117808219179</v>
      </c>
      <c r="W13" s="400">
        <f t="shared" si="0"/>
        <v>0.99950964649656238</v>
      </c>
      <c r="X13" s="544" t="s">
        <v>4080</v>
      </c>
      <c r="Y13" s="445" t="s">
        <v>39</v>
      </c>
      <c r="Z13" s="445" t="s">
        <v>1887</v>
      </c>
      <c r="AA13" s="431">
        <v>40323</v>
      </c>
      <c r="AB13" s="431"/>
      <c r="AC13" s="431">
        <v>38965</v>
      </c>
      <c r="AD13" s="431">
        <v>38840</v>
      </c>
      <c r="AE13" s="431"/>
      <c r="AF13" s="431"/>
      <c r="AG13" s="419"/>
      <c r="AH13" s="423">
        <v>17.82</v>
      </c>
      <c r="AI13" s="425">
        <f>127670/AH13</f>
        <v>7164.4219977553312</v>
      </c>
      <c r="AJ13" s="423">
        <f>9/Exch!B11</f>
        <v>10.659046474863837</v>
      </c>
      <c r="AK13" s="423">
        <f>AJ13*1000/L13</f>
        <v>152.75217074898018</v>
      </c>
      <c r="AL13" s="425">
        <f>AJ13*1000/AH13</f>
        <v>598.15075616519846</v>
      </c>
      <c r="AM13" s="419"/>
      <c r="AN13" s="419"/>
      <c r="AO13" s="419"/>
      <c r="AP13" s="790">
        <v>468</v>
      </c>
      <c r="AQ13" s="784" t="s">
        <v>1874</v>
      </c>
    </row>
    <row r="14" spans="1:48" s="474" customFormat="1" ht="13.35" customHeight="1">
      <c r="A14" s="466" t="s">
        <v>1845</v>
      </c>
      <c r="B14" s="59" t="s">
        <v>1857</v>
      </c>
      <c r="C14" s="419" t="s">
        <v>1858</v>
      </c>
      <c r="D14" s="449" t="s">
        <v>573</v>
      </c>
      <c r="E14" s="419" t="s">
        <v>1873</v>
      </c>
      <c r="F14" s="420">
        <v>1</v>
      </c>
      <c r="G14" s="420"/>
      <c r="H14" s="421" t="s">
        <v>968</v>
      </c>
      <c r="I14" s="455" t="s">
        <v>981</v>
      </c>
      <c r="J14" s="419" t="s">
        <v>1173</v>
      </c>
      <c r="K14" s="421" t="s">
        <v>2001</v>
      </c>
      <c r="L14" s="750">
        <v>403</v>
      </c>
      <c r="M14" s="423">
        <v>0</v>
      </c>
      <c r="N14" s="444">
        <v>39448</v>
      </c>
      <c r="O14" s="751">
        <f>L14*5</f>
        <v>2015</v>
      </c>
      <c r="P14" s="998" t="s">
        <v>1731</v>
      </c>
      <c r="Q14" s="424">
        <v>1565.07</v>
      </c>
      <c r="R14" s="425"/>
      <c r="S14" s="425"/>
      <c r="T14" s="733">
        <v>40476</v>
      </c>
      <c r="U14" s="444">
        <v>40908</v>
      </c>
      <c r="V14" s="425">
        <v>1612</v>
      </c>
      <c r="W14" s="400">
        <f t="shared" si="0"/>
        <v>0.97088709677419349</v>
      </c>
      <c r="X14" s="545" t="s">
        <v>728</v>
      </c>
      <c r="Y14" s="445" t="s">
        <v>39</v>
      </c>
      <c r="Z14" s="445" t="s">
        <v>1876</v>
      </c>
      <c r="AA14" s="733">
        <v>40323</v>
      </c>
      <c r="AB14" s="431"/>
      <c r="AC14" s="431">
        <v>38182</v>
      </c>
      <c r="AD14" s="431"/>
      <c r="AE14" s="431"/>
      <c r="AF14" s="431"/>
      <c r="AG14" s="419"/>
      <c r="AH14" s="423">
        <v>0</v>
      </c>
      <c r="AI14" s="419"/>
      <c r="AJ14" s="423">
        <f>0.25/Exch!B11</f>
        <v>0.29608462430177324</v>
      </c>
      <c r="AK14" s="423">
        <f>AJ14*1000/L14</f>
        <v>0.73470130099695596</v>
      </c>
      <c r="AL14" s="419"/>
      <c r="AM14" s="419"/>
      <c r="AN14" s="419"/>
      <c r="AO14" s="419" t="s">
        <v>1876</v>
      </c>
      <c r="AP14" s="910">
        <f>2308/2</f>
        <v>1154</v>
      </c>
      <c r="AQ14" s="784" t="s">
        <v>2827</v>
      </c>
    </row>
    <row r="15" spans="1:48" s="474" customFormat="1" ht="24.75" customHeight="1">
      <c r="A15" s="51" t="s">
        <v>994</v>
      </c>
      <c r="B15" s="59" t="s">
        <v>1889</v>
      </c>
      <c r="C15" s="445" t="s">
        <v>1890</v>
      </c>
      <c r="D15" s="449" t="s">
        <v>573</v>
      </c>
      <c r="E15" s="445" t="s">
        <v>1892</v>
      </c>
      <c r="F15" s="420">
        <v>1</v>
      </c>
      <c r="G15" s="449" t="s">
        <v>2775</v>
      </c>
      <c r="H15" s="421" t="s">
        <v>968</v>
      </c>
      <c r="I15" s="455" t="s">
        <v>970</v>
      </c>
      <c r="J15" s="445" t="s">
        <v>970</v>
      </c>
      <c r="K15" s="450" t="s">
        <v>680</v>
      </c>
      <c r="L15" s="750">
        <v>81.400000000000006</v>
      </c>
      <c r="M15" s="423">
        <v>0</v>
      </c>
      <c r="N15" s="444">
        <v>39530</v>
      </c>
      <c r="O15" s="751">
        <f>L15*5</f>
        <v>407</v>
      </c>
      <c r="P15" s="445" t="s">
        <v>615</v>
      </c>
      <c r="Q15" s="422">
        <v>299.28100000000001</v>
      </c>
      <c r="R15" s="425"/>
      <c r="S15" s="425"/>
      <c r="T15" s="881">
        <v>40332</v>
      </c>
      <c r="U15" s="444">
        <v>40908</v>
      </c>
      <c r="V15" s="425">
        <v>307.31287671232877</v>
      </c>
      <c r="W15" s="400">
        <f t="shared" si="0"/>
        <v>0.9738641712698316</v>
      </c>
      <c r="X15" s="544" t="s">
        <v>698</v>
      </c>
      <c r="Y15" s="445" t="s">
        <v>1891</v>
      </c>
      <c r="Z15" s="445" t="s">
        <v>715</v>
      </c>
      <c r="AA15" s="496">
        <v>39170</v>
      </c>
      <c r="AB15" s="431">
        <v>40328</v>
      </c>
      <c r="AC15" s="431"/>
      <c r="AD15" s="431">
        <v>39195</v>
      </c>
      <c r="AE15" s="431"/>
      <c r="AF15" s="431"/>
      <c r="AG15" s="419"/>
      <c r="AH15" s="423">
        <v>35</v>
      </c>
      <c r="AI15" s="425">
        <f>79284/AH15</f>
        <v>2265.2571428571428</v>
      </c>
      <c r="AJ15" s="423">
        <f>64.696/Exch!B11</f>
        <v>76.621963415310077</v>
      </c>
      <c r="AK15" s="423">
        <f>AJ15*1000/L15</f>
        <v>941.30176185884613</v>
      </c>
      <c r="AL15" s="425">
        <f>AJ15*1000/AH15</f>
        <v>2189.1989547231451</v>
      </c>
      <c r="AM15" s="419"/>
      <c r="AN15" s="419"/>
      <c r="AO15" s="419"/>
      <c r="AP15" s="530"/>
      <c r="AQ15" s="782"/>
    </row>
    <row r="16" spans="1:48" s="474" customFormat="1" ht="13.35" customHeight="1">
      <c r="A16" s="51" t="s">
        <v>965</v>
      </c>
      <c r="B16" s="499" t="s">
        <v>1908</v>
      </c>
      <c r="C16" s="445" t="s">
        <v>1912</v>
      </c>
      <c r="D16" s="449" t="s">
        <v>573</v>
      </c>
      <c r="E16" s="445" t="s">
        <v>1413</v>
      </c>
      <c r="F16" s="420">
        <v>1</v>
      </c>
      <c r="G16" s="449" t="s">
        <v>2771</v>
      </c>
      <c r="H16" s="421" t="s">
        <v>968</v>
      </c>
      <c r="I16" s="724" t="s">
        <v>971</v>
      </c>
      <c r="J16" s="449" t="s">
        <v>1364</v>
      </c>
      <c r="K16" s="450" t="s">
        <v>839</v>
      </c>
      <c r="L16" s="819">
        <f>O16/5</f>
        <v>36.619199999999999</v>
      </c>
      <c r="M16" s="505">
        <v>0</v>
      </c>
      <c r="N16" s="479">
        <v>39448</v>
      </c>
      <c r="O16" s="817">
        <v>183.096</v>
      </c>
      <c r="P16" s="419" t="s">
        <v>1732</v>
      </c>
      <c r="Q16" s="845">
        <v>41.067</v>
      </c>
      <c r="R16" s="478"/>
      <c r="S16" s="478"/>
      <c r="T16" s="880">
        <v>40344</v>
      </c>
      <c r="U16" s="444">
        <v>40543</v>
      </c>
      <c r="V16" s="478">
        <v>109.85759999999999</v>
      </c>
      <c r="W16" s="400">
        <f t="shared" si="0"/>
        <v>0.37382029099488795</v>
      </c>
      <c r="X16" s="544" t="s">
        <v>698</v>
      </c>
      <c r="Y16" s="445" t="s">
        <v>1951</v>
      </c>
      <c r="Z16" s="532" t="s">
        <v>835</v>
      </c>
      <c r="AA16" s="495">
        <v>39224</v>
      </c>
      <c r="AB16" s="431">
        <v>40339</v>
      </c>
      <c r="AC16" s="805">
        <v>40267</v>
      </c>
      <c r="AD16" s="805"/>
      <c r="AE16" s="805"/>
      <c r="AF16" s="805"/>
      <c r="AG16" s="480"/>
      <c r="AH16" s="505">
        <v>6.46</v>
      </c>
      <c r="AI16" s="478">
        <f>41900/AH16</f>
        <v>6486.068111455108</v>
      </c>
      <c r="AJ16" s="505"/>
      <c r="AK16" s="423"/>
      <c r="AL16" s="425"/>
      <c r="AM16" s="480"/>
      <c r="AN16" s="480"/>
      <c r="AO16" s="532"/>
      <c r="AP16" s="787"/>
      <c r="AQ16" s="51"/>
      <c r="AR16" s="63"/>
      <c r="AS16" s="63"/>
      <c r="AT16" s="63"/>
      <c r="AU16" s="63"/>
    </row>
    <row r="17" spans="1:48" s="474" customFormat="1" ht="12.75" customHeight="1">
      <c r="A17" s="466" t="s">
        <v>1905</v>
      </c>
      <c r="B17" s="499" t="s">
        <v>1909</v>
      </c>
      <c r="C17" s="445" t="s">
        <v>1913</v>
      </c>
      <c r="D17" s="449" t="s">
        <v>573</v>
      </c>
      <c r="E17" s="445" t="s">
        <v>1413</v>
      </c>
      <c r="F17" s="420">
        <v>1</v>
      </c>
      <c r="G17" s="420"/>
      <c r="H17" s="421" t="s">
        <v>968</v>
      </c>
      <c r="I17" s="455" t="s">
        <v>1467</v>
      </c>
      <c r="J17" s="419" t="s">
        <v>1136</v>
      </c>
      <c r="K17" s="490" t="s">
        <v>2001</v>
      </c>
      <c r="L17" s="819">
        <f>O17/5</f>
        <v>267.58519999999999</v>
      </c>
      <c r="M17" s="505">
        <v>0</v>
      </c>
      <c r="N17" s="479">
        <v>39448</v>
      </c>
      <c r="O17" s="817">
        <v>1337.9259999999999</v>
      </c>
      <c r="P17" s="419" t="s">
        <v>1732</v>
      </c>
      <c r="Q17" s="845">
        <v>158.53800000000001</v>
      </c>
      <c r="R17" s="478"/>
      <c r="S17" s="478"/>
      <c r="T17" s="880"/>
      <c r="U17" s="444">
        <v>39813</v>
      </c>
      <c r="V17" s="478">
        <v>267.58519999999999</v>
      </c>
      <c r="W17" s="400">
        <f t="shared" si="0"/>
        <v>0.59247671395876911</v>
      </c>
      <c r="X17" s="1004" t="s">
        <v>1084</v>
      </c>
      <c r="Y17" s="445" t="s">
        <v>504</v>
      </c>
      <c r="Z17" s="532" t="s">
        <v>288</v>
      </c>
      <c r="AA17" s="431">
        <v>40339</v>
      </c>
      <c r="AB17" s="805"/>
      <c r="AC17" s="805">
        <v>38160</v>
      </c>
      <c r="AD17" s="805"/>
      <c r="AE17" s="805"/>
      <c r="AF17" s="805"/>
      <c r="AG17" s="480"/>
      <c r="AH17" s="505">
        <v>0</v>
      </c>
      <c r="AI17" s="478"/>
      <c r="AJ17" s="505"/>
      <c r="AK17" s="423"/>
      <c r="AL17" s="425"/>
      <c r="AM17" s="480"/>
      <c r="AN17" s="480"/>
      <c r="AO17" s="480"/>
      <c r="AP17" s="787"/>
      <c r="AQ17" s="51"/>
    </row>
    <row r="18" spans="1:48" s="474" customFormat="1" ht="27.75" customHeight="1">
      <c r="A18" s="466" t="s">
        <v>1918</v>
      </c>
      <c r="B18" s="499" t="s">
        <v>1919</v>
      </c>
      <c r="C18" s="419" t="s">
        <v>1928</v>
      </c>
      <c r="D18" s="449" t="s">
        <v>573</v>
      </c>
      <c r="E18" s="507" t="s">
        <v>1941</v>
      </c>
      <c r="F18" s="420">
        <v>1</v>
      </c>
      <c r="G18" s="420"/>
      <c r="H18" s="421" t="s">
        <v>968</v>
      </c>
      <c r="I18" s="455" t="s">
        <v>1082</v>
      </c>
      <c r="J18" s="449" t="s">
        <v>1066</v>
      </c>
      <c r="K18" s="490" t="s">
        <v>2001</v>
      </c>
      <c r="L18" s="422">
        <v>117.2</v>
      </c>
      <c r="M18" s="423">
        <v>0</v>
      </c>
      <c r="N18" s="479">
        <v>39448</v>
      </c>
      <c r="O18" s="424">
        <v>586</v>
      </c>
      <c r="P18" s="419" t="s">
        <v>1732</v>
      </c>
      <c r="Q18" s="422">
        <v>293.03699999999998</v>
      </c>
      <c r="R18" s="425"/>
      <c r="S18" s="425"/>
      <c r="T18" s="881"/>
      <c r="U18" s="444">
        <v>40543</v>
      </c>
      <c r="V18" s="425">
        <v>351.6</v>
      </c>
      <c r="W18" s="400">
        <f t="shared" si="0"/>
        <v>0.83343856655290094</v>
      </c>
      <c r="X18" s="544" t="s">
        <v>1084</v>
      </c>
      <c r="Y18" s="445" t="s">
        <v>504</v>
      </c>
      <c r="Z18" s="419" t="s">
        <v>288</v>
      </c>
      <c r="AA18" s="496">
        <v>40343</v>
      </c>
      <c r="AB18" s="430"/>
      <c r="AC18" s="431">
        <v>37677</v>
      </c>
      <c r="AD18" s="431"/>
      <c r="AE18" s="431"/>
      <c r="AF18" s="431"/>
      <c r="AG18" s="432"/>
      <c r="AH18" s="432">
        <v>0</v>
      </c>
      <c r="AI18" s="422"/>
      <c r="AJ18" s="432">
        <v>2.75</v>
      </c>
      <c r="AK18" s="432">
        <f>AJ18*1000/L18</f>
        <v>23.464163822525595</v>
      </c>
      <c r="AL18" s="432"/>
      <c r="AM18" s="432"/>
      <c r="AN18" s="432"/>
      <c r="AO18" s="445" t="s">
        <v>1952</v>
      </c>
      <c r="AP18" s="463"/>
      <c r="AQ18" s="51"/>
      <c r="AR18" s="464"/>
      <c r="AS18" s="464"/>
      <c r="AT18" s="464"/>
      <c r="AU18" s="464"/>
      <c r="AV18" s="464"/>
    </row>
    <row r="19" spans="1:48" s="474" customFormat="1" ht="13.35" customHeight="1">
      <c r="A19" s="467" t="s">
        <v>1920</v>
      </c>
      <c r="B19" s="499" t="s">
        <v>1921</v>
      </c>
      <c r="C19" s="419" t="s">
        <v>1929</v>
      </c>
      <c r="D19" s="449" t="s">
        <v>573</v>
      </c>
      <c r="E19" s="445" t="s">
        <v>1954</v>
      </c>
      <c r="F19" s="420">
        <v>1</v>
      </c>
      <c r="G19" s="420"/>
      <c r="H19" s="448" t="s">
        <v>968</v>
      </c>
      <c r="I19" s="455" t="s">
        <v>1736</v>
      </c>
      <c r="J19" s="449" t="s">
        <v>611</v>
      </c>
      <c r="K19" s="490" t="s">
        <v>2001</v>
      </c>
      <c r="L19" s="422">
        <v>68</v>
      </c>
      <c r="M19" s="423">
        <v>-3</v>
      </c>
      <c r="N19" s="479">
        <v>39814</v>
      </c>
      <c r="O19" s="424">
        <f>L19*5</f>
        <v>340</v>
      </c>
      <c r="P19" s="445" t="s">
        <v>700</v>
      </c>
      <c r="Q19" s="422">
        <v>333.64800000000002</v>
      </c>
      <c r="R19" s="425"/>
      <c r="S19" s="425"/>
      <c r="T19" s="881">
        <v>40312</v>
      </c>
      <c r="U19" s="444">
        <v>41274</v>
      </c>
      <c r="V19" s="425">
        <v>278</v>
      </c>
      <c r="W19" s="400">
        <f t="shared" si="0"/>
        <v>1.2001726618705038</v>
      </c>
      <c r="X19" s="1005" t="s">
        <v>896</v>
      </c>
      <c r="Y19" s="419" t="s">
        <v>731</v>
      </c>
      <c r="Z19" s="419" t="s">
        <v>1958</v>
      </c>
      <c r="AA19" s="496">
        <v>40343</v>
      </c>
      <c r="AB19" s="430"/>
      <c r="AC19" s="1008">
        <v>38132</v>
      </c>
      <c r="AD19" s="420"/>
      <c r="AE19" s="431"/>
      <c r="AF19" s="431"/>
      <c r="AG19" s="432"/>
      <c r="AH19" s="432">
        <v>18</v>
      </c>
      <c r="AI19" s="422">
        <f>139810/AH19</f>
        <v>7767.2222222222226</v>
      </c>
      <c r="AJ19" s="432"/>
      <c r="AK19" s="432"/>
      <c r="AL19" s="432"/>
      <c r="AM19" s="432"/>
      <c r="AN19" s="432"/>
      <c r="AO19" s="419"/>
      <c r="AP19" s="463"/>
      <c r="AQ19" s="51"/>
      <c r="AR19" s="489"/>
      <c r="AS19" s="489"/>
      <c r="AT19" s="489"/>
      <c r="AU19" s="489"/>
      <c r="AV19" s="489"/>
    </row>
    <row r="20" spans="1:48" s="474" customFormat="1" ht="25.5" customHeight="1">
      <c r="A20" s="51" t="s">
        <v>1412</v>
      </c>
      <c r="B20" s="499" t="s">
        <v>1933</v>
      </c>
      <c r="C20" s="445" t="s">
        <v>1936</v>
      </c>
      <c r="D20" s="449" t="s">
        <v>573</v>
      </c>
      <c r="E20" s="445" t="s">
        <v>1413</v>
      </c>
      <c r="F20" s="420">
        <v>1</v>
      </c>
      <c r="G20" s="449" t="s">
        <v>3844</v>
      </c>
      <c r="H20" s="421" t="s">
        <v>968</v>
      </c>
      <c r="I20" s="455" t="s">
        <v>3238</v>
      </c>
      <c r="J20" s="420" t="s">
        <v>1943</v>
      </c>
      <c r="K20" s="450" t="s">
        <v>3845</v>
      </c>
      <c r="L20" s="422">
        <f>O20/5</f>
        <v>198.83199999999999</v>
      </c>
      <c r="M20" s="423">
        <v>9</v>
      </c>
      <c r="N20" s="479">
        <v>39448</v>
      </c>
      <c r="O20" s="424">
        <v>994.16</v>
      </c>
      <c r="P20" s="419" t="s">
        <v>1732</v>
      </c>
      <c r="Q20" s="424">
        <f>536.185</f>
        <v>536.18499999999995</v>
      </c>
      <c r="R20" s="425"/>
      <c r="S20" s="425"/>
      <c r="T20" s="881">
        <v>40284</v>
      </c>
      <c r="U20" s="444">
        <v>40908</v>
      </c>
      <c r="V20" s="425">
        <v>777.32799999999997</v>
      </c>
      <c r="W20" s="400">
        <f t="shared" si="0"/>
        <v>0.68977960397669957</v>
      </c>
      <c r="X20" s="544" t="s">
        <v>1087</v>
      </c>
      <c r="Y20" s="419" t="s">
        <v>564</v>
      </c>
      <c r="Z20" s="445" t="s">
        <v>1959</v>
      </c>
      <c r="AA20" s="496">
        <v>39792</v>
      </c>
      <c r="AB20" s="430">
        <v>40357</v>
      </c>
      <c r="AC20" s="431">
        <v>39295</v>
      </c>
      <c r="AD20" s="431"/>
      <c r="AE20" s="431"/>
      <c r="AF20" s="431"/>
      <c r="AG20" s="432"/>
      <c r="AH20" s="432">
        <v>0</v>
      </c>
      <c r="AI20" s="422"/>
      <c r="AJ20" s="432"/>
      <c r="AK20" s="432"/>
      <c r="AL20" s="432"/>
      <c r="AM20" s="432"/>
      <c r="AN20" s="432"/>
      <c r="AO20" s="419"/>
      <c r="AP20" s="463"/>
      <c r="AQ20" s="782"/>
    </row>
    <row r="21" spans="1:48" s="474" customFormat="1" ht="27.75" customHeight="1">
      <c r="A21" s="466" t="s">
        <v>1934</v>
      </c>
      <c r="B21" s="499" t="s">
        <v>1935</v>
      </c>
      <c r="C21" s="445" t="s">
        <v>1937</v>
      </c>
      <c r="D21" s="449" t="s">
        <v>573</v>
      </c>
      <c r="E21" s="419" t="s">
        <v>1942</v>
      </c>
      <c r="F21" s="420">
        <v>1</v>
      </c>
      <c r="G21" s="420"/>
      <c r="H21" s="421" t="s">
        <v>968</v>
      </c>
      <c r="I21" s="455" t="s">
        <v>1467</v>
      </c>
      <c r="J21" s="419" t="s">
        <v>1136</v>
      </c>
      <c r="K21" s="421" t="s">
        <v>1478</v>
      </c>
      <c r="L21" s="422">
        <v>168.911</v>
      </c>
      <c r="M21" s="423">
        <v>15</v>
      </c>
      <c r="N21" s="479">
        <v>39448</v>
      </c>
      <c r="O21" s="424">
        <v>844.55600000000004</v>
      </c>
      <c r="P21" s="727" t="s">
        <v>896</v>
      </c>
      <c r="Q21" s="982">
        <f>202.621+160.621+143.21+137.987+126.169</f>
        <v>770.60799999999995</v>
      </c>
      <c r="R21" s="425"/>
      <c r="S21" s="425"/>
      <c r="T21" s="881">
        <v>40351</v>
      </c>
      <c r="U21" s="444">
        <v>41243</v>
      </c>
      <c r="V21" s="425">
        <v>827.64037849502711</v>
      </c>
      <c r="W21" s="400">
        <f t="shared" si="0"/>
        <v>0.93109038662572952</v>
      </c>
      <c r="X21" s="544" t="s">
        <v>4081</v>
      </c>
      <c r="Y21" s="445" t="s">
        <v>39</v>
      </c>
      <c r="Z21" s="419" t="s">
        <v>1616</v>
      </c>
      <c r="AA21" s="550">
        <v>40353</v>
      </c>
      <c r="AB21" s="430"/>
      <c r="AC21" s="431">
        <v>39080</v>
      </c>
      <c r="AD21" s="431">
        <v>40345</v>
      </c>
      <c r="AE21" s="431"/>
      <c r="AF21" s="431"/>
      <c r="AG21" s="423"/>
      <c r="AH21" s="423">
        <v>37</v>
      </c>
      <c r="AI21" s="425">
        <f>(247683-20526)/AH21</f>
        <v>6139.3783783783783</v>
      </c>
      <c r="AJ21" s="423"/>
      <c r="AK21" s="423"/>
      <c r="AL21" s="423"/>
      <c r="AM21" s="423"/>
      <c r="AN21" s="423"/>
      <c r="AO21" s="419" t="s">
        <v>1940</v>
      </c>
      <c r="AP21" s="790">
        <v>977</v>
      </c>
      <c r="AQ21" s="784" t="s">
        <v>2814</v>
      </c>
    </row>
    <row r="22" spans="1:48" s="474" customFormat="1" ht="13.35" customHeight="1">
      <c r="A22" s="51" t="s">
        <v>1325</v>
      </c>
      <c r="B22" s="841" t="s">
        <v>1981</v>
      </c>
      <c r="C22" s="419" t="s">
        <v>1985</v>
      </c>
      <c r="D22" s="449" t="s">
        <v>573</v>
      </c>
      <c r="E22" s="419" t="s">
        <v>2009</v>
      </c>
      <c r="F22" s="420">
        <v>1</v>
      </c>
      <c r="G22" s="449" t="s">
        <v>3923</v>
      </c>
      <c r="H22" s="421" t="s">
        <v>968</v>
      </c>
      <c r="I22" s="455" t="s">
        <v>1082</v>
      </c>
      <c r="J22" s="419" t="s">
        <v>1404</v>
      </c>
      <c r="K22" s="421" t="s">
        <v>2010</v>
      </c>
      <c r="L22" s="422">
        <v>135.44300000000001</v>
      </c>
      <c r="M22" s="423">
        <v>0</v>
      </c>
      <c r="N22" s="479">
        <v>39448</v>
      </c>
      <c r="O22" s="424">
        <v>677.21600000000001</v>
      </c>
      <c r="P22" s="419" t="s">
        <v>1732</v>
      </c>
      <c r="Q22" s="422">
        <f>258.435</f>
        <v>258.435</v>
      </c>
      <c r="R22" s="425"/>
      <c r="S22" s="425"/>
      <c r="T22" s="881">
        <v>40476</v>
      </c>
      <c r="U22" s="444">
        <v>40543</v>
      </c>
      <c r="V22" s="425">
        <v>406.32900000000006</v>
      </c>
      <c r="W22" s="400">
        <f t="shared" si="0"/>
        <v>0.63602401010018961</v>
      </c>
      <c r="X22" s="967" t="s">
        <v>1087</v>
      </c>
      <c r="Y22" s="445" t="s">
        <v>416</v>
      </c>
      <c r="Z22" s="419" t="s">
        <v>1360</v>
      </c>
      <c r="AA22" s="431">
        <v>39038</v>
      </c>
      <c r="AB22" s="430">
        <v>40393</v>
      </c>
      <c r="AC22" s="431">
        <v>40193</v>
      </c>
      <c r="AD22" s="431">
        <v>39219</v>
      </c>
      <c r="AE22" s="431"/>
      <c r="AF22" s="431"/>
      <c r="AG22" s="423"/>
      <c r="AH22" s="423">
        <v>0</v>
      </c>
      <c r="AI22" s="425"/>
      <c r="AJ22" s="423"/>
      <c r="AK22" s="423"/>
      <c r="AL22" s="423"/>
      <c r="AM22" s="423"/>
      <c r="AN22" s="423"/>
      <c r="AO22" s="419"/>
      <c r="AP22" s="463"/>
      <c r="AQ22" s="51"/>
    </row>
    <row r="23" spans="1:48" s="474" customFormat="1" ht="13.35" customHeight="1">
      <c r="A23" s="51" t="s">
        <v>149</v>
      </c>
      <c r="B23" s="499" t="s">
        <v>2004</v>
      </c>
      <c r="C23" s="445" t="s">
        <v>2003</v>
      </c>
      <c r="D23" s="449" t="s">
        <v>573</v>
      </c>
      <c r="E23" s="419" t="s">
        <v>1941</v>
      </c>
      <c r="F23" s="420">
        <v>1</v>
      </c>
      <c r="G23" s="449" t="s">
        <v>3839</v>
      </c>
      <c r="H23" s="421" t="s">
        <v>968</v>
      </c>
      <c r="I23" s="455" t="s">
        <v>911</v>
      </c>
      <c r="J23" s="449" t="s">
        <v>612</v>
      </c>
      <c r="K23" s="421" t="s">
        <v>1135</v>
      </c>
      <c r="L23" s="422">
        <v>136.428</v>
      </c>
      <c r="M23" s="423">
        <v>5</v>
      </c>
      <c r="N23" s="444">
        <v>39448</v>
      </c>
      <c r="O23" s="424">
        <v>682.14300000000003</v>
      </c>
      <c r="P23" s="419" t="s">
        <v>1732</v>
      </c>
      <c r="Q23" s="422">
        <f>672.066</f>
        <v>672.06600000000003</v>
      </c>
      <c r="R23" s="419"/>
      <c r="S23" s="419"/>
      <c r="T23" s="881">
        <v>40816</v>
      </c>
      <c r="U23" s="444">
        <v>41274</v>
      </c>
      <c r="V23" s="425">
        <v>682.54804068305509</v>
      </c>
      <c r="W23" s="400">
        <f t="shared" si="0"/>
        <v>0.98464277961655966</v>
      </c>
      <c r="X23" s="545" t="s">
        <v>728</v>
      </c>
      <c r="Y23" s="445" t="s">
        <v>1361</v>
      </c>
      <c r="Z23" s="445" t="s">
        <v>154</v>
      </c>
      <c r="AA23" s="1021">
        <v>39689</v>
      </c>
      <c r="AB23" s="430">
        <v>40420</v>
      </c>
      <c r="AC23" s="431">
        <v>39022</v>
      </c>
      <c r="AD23" s="431">
        <v>38840</v>
      </c>
      <c r="AE23" s="431"/>
      <c r="AF23" s="431"/>
      <c r="AG23" s="423"/>
      <c r="AH23" s="423"/>
      <c r="AI23" s="425"/>
      <c r="AJ23" s="423"/>
      <c r="AK23" s="423"/>
      <c r="AL23" s="423"/>
      <c r="AM23" s="423"/>
      <c r="AN23" s="423"/>
      <c r="AO23" s="419"/>
      <c r="AP23" s="463"/>
      <c r="AQ23" s="782"/>
    </row>
    <row r="24" spans="1:48" s="474" customFormat="1" ht="14.25" customHeight="1">
      <c r="A24" s="467" t="s">
        <v>2042</v>
      </c>
      <c r="B24" s="468" t="s">
        <v>2038</v>
      </c>
      <c r="C24" s="445" t="s">
        <v>2051</v>
      </c>
      <c r="D24" s="449" t="s">
        <v>573</v>
      </c>
      <c r="E24" s="445" t="s">
        <v>2054</v>
      </c>
      <c r="F24" s="420">
        <v>1</v>
      </c>
      <c r="G24" s="420"/>
      <c r="H24" s="450" t="s">
        <v>968</v>
      </c>
      <c r="I24" s="455" t="s">
        <v>1082</v>
      </c>
      <c r="J24" s="507" t="s">
        <v>687</v>
      </c>
      <c r="K24" s="421" t="s">
        <v>2056</v>
      </c>
      <c r="L24" s="422">
        <v>11.102</v>
      </c>
      <c r="M24" s="423">
        <v>0</v>
      </c>
      <c r="N24" s="479">
        <v>39448</v>
      </c>
      <c r="O24" s="424">
        <v>55.508000000000003</v>
      </c>
      <c r="P24" s="419" t="s">
        <v>1732</v>
      </c>
      <c r="Q24" s="422"/>
      <c r="R24" s="419"/>
      <c r="S24" s="419"/>
      <c r="T24" s="881"/>
      <c r="U24" s="444"/>
      <c r="V24" s="425"/>
      <c r="W24" s="427"/>
      <c r="X24" s="543"/>
      <c r="Y24" s="445" t="s">
        <v>1361</v>
      </c>
      <c r="Z24" s="532" t="s">
        <v>1084</v>
      </c>
      <c r="AA24" s="430">
        <v>40438</v>
      </c>
      <c r="AB24" s="430"/>
      <c r="AC24" s="431">
        <v>40233</v>
      </c>
      <c r="AD24" s="431">
        <v>38840</v>
      </c>
      <c r="AE24" s="431"/>
      <c r="AF24" s="431"/>
      <c r="AG24" s="423"/>
      <c r="AH24" s="423"/>
      <c r="AI24" s="425"/>
      <c r="AJ24" s="423"/>
      <c r="AK24" s="423"/>
      <c r="AL24" s="423"/>
      <c r="AM24" s="423"/>
      <c r="AN24" s="423"/>
      <c r="AO24" s="419"/>
      <c r="AP24" s="463"/>
      <c r="AQ24" s="51"/>
    </row>
    <row r="25" spans="1:48" s="474" customFormat="1">
      <c r="A25" s="467" t="s">
        <v>2043</v>
      </c>
      <c r="B25" s="468" t="s">
        <v>2038</v>
      </c>
      <c r="C25" s="445" t="s">
        <v>2057</v>
      </c>
      <c r="D25" s="449" t="s">
        <v>573</v>
      </c>
      <c r="E25" s="445" t="s">
        <v>2060</v>
      </c>
      <c r="F25" s="420">
        <v>1</v>
      </c>
      <c r="G25" s="420"/>
      <c r="H25" s="421" t="s">
        <v>968</v>
      </c>
      <c r="I25" s="455" t="s">
        <v>911</v>
      </c>
      <c r="J25" s="507" t="s">
        <v>1795</v>
      </c>
      <c r="K25" s="450" t="s">
        <v>2064</v>
      </c>
      <c r="L25" s="422">
        <v>8.4</v>
      </c>
      <c r="M25" s="423">
        <v>0</v>
      </c>
      <c r="N25" s="479">
        <v>39448</v>
      </c>
      <c r="O25" s="424">
        <v>41.997999999999998</v>
      </c>
      <c r="P25" s="419" t="s">
        <v>1732</v>
      </c>
      <c r="Q25" s="422"/>
      <c r="R25" s="419"/>
      <c r="S25" s="419"/>
      <c r="T25" s="881"/>
      <c r="U25" s="444"/>
      <c r="V25" s="425"/>
      <c r="W25" s="427"/>
      <c r="X25" s="543"/>
      <c r="Y25" s="445" t="s">
        <v>1361</v>
      </c>
      <c r="Z25" s="532" t="s">
        <v>1084</v>
      </c>
      <c r="AA25" s="430">
        <v>40438</v>
      </c>
      <c r="AB25" s="430"/>
      <c r="AC25" s="431">
        <v>40233</v>
      </c>
      <c r="AD25" s="431">
        <v>38989</v>
      </c>
      <c r="AE25" s="431"/>
      <c r="AF25" s="431"/>
      <c r="AG25" s="423"/>
      <c r="AH25" s="423"/>
      <c r="AI25" s="425"/>
      <c r="AJ25" s="423"/>
      <c r="AK25" s="423"/>
      <c r="AL25" s="423"/>
      <c r="AM25" s="423"/>
      <c r="AN25" s="423"/>
      <c r="AO25" s="419"/>
      <c r="AP25" s="463"/>
      <c r="AQ25" s="64"/>
    </row>
    <row r="26" spans="1:48" s="474" customFormat="1" ht="13.15" customHeight="1">
      <c r="A26" s="467" t="s">
        <v>2045</v>
      </c>
      <c r="B26" s="468" t="s">
        <v>2038</v>
      </c>
      <c r="C26" s="445" t="s">
        <v>2058</v>
      </c>
      <c r="D26" s="449" t="s">
        <v>573</v>
      </c>
      <c r="E26" s="445" t="s">
        <v>2061</v>
      </c>
      <c r="F26" s="420">
        <v>1</v>
      </c>
      <c r="G26" s="420"/>
      <c r="H26" s="421" t="s">
        <v>968</v>
      </c>
      <c r="I26" s="455" t="s">
        <v>911</v>
      </c>
      <c r="J26" s="507" t="s">
        <v>2063</v>
      </c>
      <c r="K26" s="450" t="s">
        <v>2064</v>
      </c>
      <c r="L26" s="422">
        <v>8.4</v>
      </c>
      <c r="M26" s="423">
        <v>0</v>
      </c>
      <c r="N26" s="479">
        <v>39448</v>
      </c>
      <c r="O26" s="424">
        <v>41.744</v>
      </c>
      <c r="P26" s="419" t="s">
        <v>1732</v>
      </c>
      <c r="Q26" s="422"/>
      <c r="R26" s="419"/>
      <c r="S26" s="419"/>
      <c r="T26" s="881"/>
      <c r="U26" s="444"/>
      <c r="V26" s="425"/>
      <c r="W26" s="427"/>
      <c r="X26" s="543"/>
      <c r="Y26" s="445" t="s">
        <v>1361</v>
      </c>
      <c r="Z26" s="532" t="s">
        <v>1084</v>
      </c>
      <c r="AA26" s="430">
        <v>40438</v>
      </c>
      <c r="AB26" s="430"/>
      <c r="AC26" s="431">
        <v>40233</v>
      </c>
      <c r="AD26" s="431">
        <v>38989</v>
      </c>
      <c r="AE26" s="431"/>
      <c r="AF26" s="431"/>
      <c r="AG26" s="423"/>
      <c r="AH26" s="423"/>
      <c r="AI26" s="425"/>
      <c r="AJ26" s="423"/>
      <c r="AK26" s="423"/>
      <c r="AL26" s="423"/>
      <c r="AM26" s="423"/>
      <c r="AN26" s="423"/>
      <c r="AO26" s="419"/>
      <c r="AP26" s="463"/>
      <c r="AQ26" s="466"/>
    </row>
    <row r="27" spans="1:48" s="474" customFormat="1" ht="25.5" customHeight="1">
      <c r="A27" s="467" t="s">
        <v>2074</v>
      </c>
      <c r="B27" s="468" t="s">
        <v>2038</v>
      </c>
      <c r="C27" s="445" t="s">
        <v>2059</v>
      </c>
      <c r="D27" s="449" t="s">
        <v>573</v>
      </c>
      <c r="E27" s="445" t="s">
        <v>2062</v>
      </c>
      <c r="F27" s="449">
        <v>1</v>
      </c>
      <c r="G27" s="449"/>
      <c r="H27" s="421" t="s">
        <v>968</v>
      </c>
      <c r="I27" s="455" t="s">
        <v>911</v>
      </c>
      <c r="J27" s="507" t="s">
        <v>613</v>
      </c>
      <c r="K27" s="450" t="s">
        <v>2064</v>
      </c>
      <c r="L27" s="422">
        <v>2.3199999999999998</v>
      </c>
      <c r="M27" s="423">
        <v>0</v>
      </c>
      <c r="N27" s="479">
        <v>39448</v>
      </c>
      <c r="O27" s="424">
        <v>11.661</v>
      </c>
      <c r="P27" s="419" t="s">
        <v>1732</v>
      </c>
      <c r="Q27" s="422"/>
      <c r="R27" s="419"/>
      <c r="S27" s="419"/>
      <c r="T27" s="881"/>
      <c r="U27" s="444"/>
      <c r="V27" s="425"/>
      <c r="W27" s="427"/>
      <c r="X27" s="448"/>
      <c r="Y27" s="445" t="s">
        <v>1361</v>
      </c>
      <c r="Z27" s="532" t="s">
        <v>1084</v>
      </c>
      <c r="AA27" s="496">
        <v>40438</v>
      </c>
      <c r="AB27" s="430"/>
      <c r="AC27" s="431">
        <v>40233</v>
      </c>
      <c r="AD27" s="431">
        <v>38989</v>
      </c>
      <c r="AE27" s="431"/>
      <c r="AF27" s="431"/>
      <c r="AG27" s="423"/>
      <c r="AH27" s="423"/>
      <c r="AI27" s="425"/>
      <c r="AJ27" s="423"/>
      <c r="AK27" s="423"/>
      <c r="AL27" s="423"/>
      <c r="AM27" s="423"/>
      <c r="AN27" s="423"/>
      <c r="AO27" s="419"/>
      <c r="AP27" s="463"/>
      <c r="AQ27" s="51"/>
    </row>
    <row r="28" spans="1:48" s="474" customFormat="1" ht="13.15" customHeight="1">
      <c r="A28" s="467" t="s">
        <v>2075</v>
      </c>
      <c r="B28" s="468" t="s">
        <v>2038</v>
      </c>
      <c r="C28" s="445" t="s">
        <v>2049</v>
      </c>
      <c r="D28" s="449" t="s">
        <v>573</v>
      </c>
      <c r="E28" s="445" t="s">
        <v>2052</v>
      </c>
      <c r="F28" s="420">
        <v>1</v>
      </c>
      <c r="G28" s="420"/>
      <c r="H28" s="450" t="s">
        <v>968</v>
      </c>
      <c r="I28" s="455" t="s">
        <v>971</v>
      </c>
      <c r="J28" s="552" t="s">
        <v>268</v>
      </c>
      <c r="K28" s="448" t="s">
        <v>2055</v>
      </c>
      <c r="L28" s="422">
        <v>18.123000000000001</v>
      </c>
      <c r="M28" s="423">
        <v>0</v>
      </c>
      <c r="N28" s="479">
        <v>39448</v>
      </c>
      <c r="O28" s="424">
        <v>90.614000000000004</v>
      </c>
      <c r="P28" s="419" t="s">
        <v>1732</v>
      </c>
      <c r="Q28" s="422">
        <v>11.968999999999999</v>
      </c>
      <c r="R28" s="419"/>
      <c r="S28" s="419"/>
      <c r="T28" s="881">
        <v>41254</v>
      </c>
      <c r="U28" s="444">
        <v>41213</v>
      </c>
      <c r="V28" s="425">
        <v>87.635876712328781</v>
      </c>
      <c r="W28" s="400">
        <f>Q28/V28</f>
        <v>0.13657648498558556</v>
      </c>
      <c r="X28" s="543" t="s">
        <v>1087</v>
      </c>
      <c r="Y28" s="445" t="s">
        <v>1361</v>
      </c>
      <c r="Z28" s="532" t="s">
        <v>1084</v>
      </c>
      <c r="AA28" s="430">
        <v>40438</v>
      </c>
      <c r="AB28" s="430"/>
      <c r="AC28" s="431">
        <v>40233</v>
      </c>
      <c r="AD28" s="431">
        <v>38840</v>
      </c>
      <c r="AE28" s="431"/>
      <c r="AF28" s="431"/>
      <c r="AG28" s="432"/>
      <c r="AH28" s="432"/>
      <c r="AI28" s="422"/>
      <c r="AJ28" s="432"/>
      <c r="AK28" s="432"/>
      <c r="AL28" s="432"/>
      <c r="AM28" s="432"/>
      <c r="AN28" s="432"/>
      <c r="AO28" s="419"/>
      <c r="AP28" s="463"/>
      <c r="AQ28" s="51"/>
      <c r="AR28" s="820"/>
      <c r="AS28" s="820"/>
      <c r="AT28" s="820"/>
      <c r="AU28" s="820"/>
      <c r="AV28" s="464"/>
    </row>
    <row r="29" spans="1:48" s="474" customFormat="1" ht="25.5" customHeight="1">
      <c r="A29" s="467" t="s">
        <v>2076</v>
      </c>
      <c r="B29" s="468" t="s">
        <v>2038</v>
      </c>
      <c r="C29" s="445" t="s">
        <v>2050</v>
      </c>
      <c r="D29" s="449" t="s">
        <v>573</v>
      </c>
      <c r="E29" s="445" t="s">
        <v>2053</v>
      </c>
      <c r="F29" s="420">
        <v>1</v>
      </c>
      <c r="G29" s="420"/>
      <c r="H29" s="450" t="s">
        <v>968</v>
      </c>
      <c r="I29" s="455" t="s">
        <v>971</v>
      </c>
      <c r="J29" s="552" t="s">
        <v>1364</v>
      </c>
      <c r="K29" s="448" t="s">
        <v>2055</v>
      </c>
      <c r="L29" s="422">
        <v>19.736000000000001</v>
      </c>
      <c r="M29" s="423">
        <v>0</v>
      </c>
      <c r="N29" s="444">
        <v>39448</v>
      </c>
      <c r="O29" s="424">
        <v>98.677999999999997</v>
      </c>
      <c r="P29" s="419" t="s">
        <v>1732</v>
      </c>
      <c r="Q29" s="422">
        <f>10.763</f>
        <v>10.763</v>
      </c>
      <c r="R29" s="419"/>
      <c r="S29" s="419"/>
      <c r="T29" s="881">
        <v>41254</v>
      </c>
      <c r="U29" s="444">
        <v>41213</v>
      </c>
      <c r="V29" s="425">
        <v>95.435726027397266</v>
      </c>
      <c r="W29" s="400">
        <f>Q29/V29</f>
        <v>0.11277747283978544</v>
      </c>
      <c r="X29" s="448" t="s">
        <v>1087</v>
      </c>
      <c r="Y29" s="445" t="s">
        <v>1361</v>
      </c>
      <c r="Z29" s="445" t="s">
        <v>1084</v>
      </c>
      <c r="AA29" s="430">
        <v>40442</v>
      </c>
      <c r="AB29" s="430"/>
      <c r="AC29" s="431">
        <v>40233</v>
      </c>
      <c r="AD29" s="431">
        <v>38840</v>
      </c>
      <c r="AE29" s="431"/>
      <c r="AF29" s="431"/>
      <c r="AG29" s="432"/>
      <c r="AH29" s="432"/>
      <c r="AI29" s="422"/>
      <c r="AJ29" s="432"/>
      <c r="AK29" s="432"/>
      <c r="AL29" s="432"/>
      <c r="AM29" s="432"/>
      <c r="AN29" s="432"/>
      <c r="AO29" s="419"/>
      <c r="AP29" s="463"/>
      <c r="AQ29" s="51"/>
    </row>
    <row r="30" spans="1:48" s="474" customFormat="1" ht="24.75" customHeight="1">
      <c r="A30" s="467" t="s">
        <v>2116</v>
      </c>
      <c r="B30" s="488" t="s">
        <v>2117</v>
      </c>
      <c r="C30" s="445" t="s">
        <v>2139</v>
      </c>
      <c r="D30" s="449" t="s">
        <v>573</v>
      </c>
      <c r="E30" s="445" t="s">
        <v>2129</v>
      </c>
      <c r="F30" s="420">
        <v>1</v>
      </c>
      <c r="G30" s="420"/>
      <c r="H30" s="450" t="s">
        <v>968</v>
      </c>
      <c r="I30" s="455" t="s">
        <v>971</v>
      </c>
      <c r="J30" s="552" t="s">
        <v>268</v>
      </c>
      <c r="K30" s="455" t="s">
        <v>2140</v>
      </c>
      <c r="L30" s="422">
        <f>O30/5</f>
        <v>228</v>
      </c>
      <c r="M30" s="423">
        <v>0</v>
      </c>
      <c r="N30" s="479">
        <v>39448</v>
      </c>
      <c r="O30" s="424">
        <v>1140</v>
      </c>
      <c r="P30" s="445" t="s">
        <v>1731</v>
      </c>
      <c r="Q30" s="422"/>
      <c r="R30" s="419"/>
      <c r="S30" s="419"/>
      <c r="T30" s="881"/>
      <c r="U30" s="444"/>
      <c r="V30" s="425"/>
      <c r="W30" s="427"/>
      <c r="X30" s="543"/>
      <c r="Y30" s="445" t="s">
        <v>416</v>
      </c>
      <c r="Z30" s="532" t="s">
        <v>2141</v>
      </c>
      <c r="AA30" s="430">
        <v>40490</v>
      </c>
      <c r="AB30" s="430"/>
      <c r="AC30" s="431">
        <v>38047</v>
      </c>
      <c r="AD30" s="431">
        <v>37932</v>
      </c>
      <c r="AE30" s="431"/>
      <c r="AF30" s="431"/>
      <c r="AG30" s="423"/>
      <c r="AH30" s="423">
        <v>80</v>
      </c>
      <c r="AI30" s="425">
        <f>(198000+16000)/AH30</f>
        <v>2675</v>
      </c>
      <c r="AJ30" s="423"/>
      <c r="AK30" s="423"/>
      <c r="AL30" s="423"/>
      <c r="AM30" s="423"/>
      <c r="AN30" s="423"/>
      <c r="AO30" s="419"/>
      <c r="AP30" s="463"/>
      <c r="AQ30" s="51"/>
    </row>
    <row r="31" spans="1:48" s="474" customFormat="1" ht="26.25" customHeight="1">
      <c r="A31" s="467" t="s">
        <v>2214</v>
      </c>
      <c r="B31" s="756" t="s">
        <v>2192</v>
      </c>
      <c r="C31" s="445" t="s">
        <v>2193</v>
      </c>
      <c r="D31" s="449" t="s">
        <v>573</v>
      </c>
      <c r="E31" s="445" t="s">
        <v>2052</v>
      </c>
      <c r="F31" s="802">
        <v>1</v>
      </c>
      <c r="G31" s="802"/>
      <c r="H31" s="490" t="s">
        <v>968</v>
      </c>
      <c r="I31" s="724" t="s">
        <v>911</v>
      </c>
      <c r="J31" s="552" t="s">
        <v>612</v>
      </c>
      <c r="K31" s="533" t="s">
        <v>2132</v>
      </c>
      <c r="L31" s="845">
        <f>O31/2.5</f>
        <v>123.4376</v>
      </c>
      <c r="M31" s="505">
        <v>0</v>
      </c>
      <c r="N31" s="479">
        <v>40330</v>
      </c>
      <c r="O31" s="804">
        <v>308.59399999999999</v>
      </c>
      <c r="P31" s="419" t="s">
        <v>1732</v>
      </c>
      <c r="Q31" s="845"/>
      <c r="R31" s="478"/>
      <c r="S31" s="478"/>
      <c r="T31" s="880"/>
      <c r="U31" s="479"/>
      <c r="V31" s="478"/>
      <c r="W31" s="480"/>
      <c r="X31" s="503"/>
      <c r="Y31" s="391" t="s">
        <v>1361</v>
      </c>
      <c r="Z31" s="532" t="s">
        <v>835</v>
      </c>
      <c r="AA31" s="479">
        <v>40541</v>
      </c>
      <c r="AB31" s="805"/>
      <c r="AC31" s="805">
        <v>38315</v>
      </c>
      <c r="AD31" s="805">
        <v>38299</v>
      </c>
      <c r="AE31" s="805"/>
      <c r="AF31" s="805"/>
      <c r="AG31" s="480"/>
      <c r="AH31" s="505">
        <v>0</v>
      </c>
      <c r="AI31" s="480"/>
      <c r="AJ31" s="480"/>
      <c r="AK31" s="480"/>
      <c r="AL31" s="480"/>
      <c r="AM31" s="480"/>
      <c r="AN31" s="480"/>
      <c r="AO31" s="480"/>
      <c r="AP31" s="818"/>
      <c r="AQ31" s="51"/>
    </row>
    <row r="32" spans="1:48" s="474" customFormat="1" ht="13.15" customHeight="1">
      <c r="A32" s="467" t="s">
        <v>2215</v>
      </c>
      <c r="B32" s="756" t="s">
        <v>2194</v>
      </c>
      <c r="C32" s="445" t="s">
        <v>2197</v>
      </c>
      <c r="D32" s="449" t="s">
        <v>573</v>
      </c>
      <c r="E32" s="445" t="s">
        <v>2198</v>
      </c>
      <c r="F32" s="802">
        <v>1</v>
      </c>
      <c r="G32" s="802"/>
      <c r="H32" s="490" t="s">
        <v>968</v>
      </c>
      <c r="I32" s="471" t="s">
        <v>256</v>
      </c>
      <c r="J32" s="420" t="s">
        <v>660</v>
      </c>
      <c r="K32" s="533" t="s">
        <v>2132</v>
      </c>
      <c r="L32" s="845">
        <f>O32/5</f>
        <v>180</v>
      </c>
      <c r="M32" s="505">
        <v>0</v>
      </c>
      <c r="N32" s="479">
        <v>39448</v>
      </c>
      <c r="O32" s="804">
        <v>900</v>
      </c>
      <c r="P32" s="419" t="s">
        <v>1732</v>
      </c>
      <c r="Q32" s="845">
        <f>23.647+18.769</f>
        <v>42.415999999999997</v>
      </c>
      <c r="R32" s="478"/>
      <c r="S32" s="478"/>
      <c r="T32" s="880"/>
      <c r="U32" s="479">
        <v>41213</v>
      </c>
      <c r="V32" s="478">
        <v>870.41095890410963</v>
      </c>
      <c r="W32" s="400">
        <f>Q32/V32</f>
        <v>4.8731004091910599E-2</v>
      </c>
      <c r="X32" s="1004" t="s">
        <v>1087</v>
      </c>
      <c r="Y32" s="391" t="s">
        <v>1361</v>
      </c>
      <c r="Z32" s="419" t="s">
        <v>1616</v>
      </c>
      <c r="AA32" s="805">
        <v>40541</v>
      </c>
      <c r="AB32" s="805"/>
      <c r="AC32" s="805">
        <v>38443</v>
      </c>
      <c r="AD32" s="805">
        <v>38456</v>
      </c>
      <c r="AE32" s="805"/>
      <c r="AF32" s="805"/>
      <c r="AG32" s="480"/>
      <c r="AH32" s="505">
        <v>29</v>
      </c>
      <c r="AI32" s="480">
        <v>6250</v>
      </c>
      <c r="AJ32" s="480"/>
      <c r="AK32" s="480"/>
      <c r="AL32" s="480"/>
      <c r="AM32" s="480"/>
      <c r="AN32" s="480"/>
      <c r="AO32" s="480"/>
      <c r="AP32" s="818"/>
      <c r="AQ32" s="51"/>
      <c r="AR32" s="489"/>
      <c r="AS32" s="489"/>
      <c r="AT32" s="489"/>
      <c r="AU32" s="489"/>
      <c r="AV32" s="489"/>
    </row>
    <row r="33" spans="1:48" s="474" customFormat="1" ht="13.15" customHeight="1">
      <c r="A33" s="467" t="s">
        <v>2216</v>
      </c>
      <c r="B33" s="756" t="s">
        <v>2195</v>
      </c>
      <c r="C33" s="445" t="s">
        <v>2199</v>
      </c>
      <c r="D33" s="449" t="s">
        <v>573</v>
      </c>
      <c r="E33" s="445" t="s">
        <v>2200</v>
      </c>
      <c r="F33" s="802">
        <v>1</v>
      </c>
      <c r="G33" s="802"/>
      <c r="H33" s="490" t="s">
        <v>968</v>
      </c>
      <c r="I33" s="471" t="s">
        <v>1548</v>
      </c>
      <c r="J33" s="420" t="s">
        <v>235</v>
      </c>
      <c r="K33" s="724" t="s">
        <v>882</v>
      </c>
      <c r="L33" s="845">
        <f>O33/5</f>
        <v>63.180799999999998</v>
      </c>
      <c r="M33" s="505">
        <v>0</v>
      </c>
      <c r="N33" s="479">
        <v>39448</v>
      </c>
      <c r="O33" s="804">
        <v>315.904</v>
      </c>
      <c r="P33" s="532" t="s">
        <v>1731</v>
      </c>
      <c r="Q33" s="845">
        <v>60.323</v>
      </c>
      <c r="R33" s="478"/>
      <c r="S33" s="478"/>
      <c r="T33" s="880">
        <v>41260</v>
      </c>
      <c r="U33" s="479">
        <v>39813</v>
      </c>
      <c r="V33" s="478">
        <v>63.180799999999998</v>
      </c>
      <c r="W33" s="400">
        <f>Q33/V33</f>
        <v>0.95476790417341983</v>
      </c>
      <c r="X33" s="1004" t="s">
        <v>4080</v>
      </c>
      <c r="Y33" s="445" t="s">
        <v>1084</v>
      </c>
      <c r="Z33" s="532" t="s">
        <v>1886</v>
      </c>
      <c r="AA33" s="805">
        <v>40541</v>
      </c>
      <c r="AB33" s="805"/>
      <c r="AC33" s="805">
        <v>40234</v>
      </c>
      <c r="AD33" s="805">
        <v>39037</v>
      </c>
      <c r="AE33" s="805"/>
      <c r="AF33" s="805"/>
      <c r="AG33" s="480"/>
      <c r="AH33" s="505">
        <v>0</v>
      </c>
      <c r="AI33" s="480"/>
      <c r="AJ33" s="480"/>
      <c r="AK33" s="480"/>
      <c r="AL33" s="480"/>
      <c r="AM33" s="480"/>
      <c r="AN33" s="480"/>
      <c r="AO33" s="480"/>
      <c r="AP33" s="787"/>
      <c r="AQ33" s="51"/>
    </row>
    <row r="34" spans="1:48" s="474" customFormat="1" ht="13.15" customHeight="1">
      <c r="A34" s="467" t="s">
        <v>2217</v>
      </c>
      <c r="B34" s="756" t="s">
        <v>2196</v>
      </c>
      <c r="C34" s="445" t="s">
        <v>2201</v>
      </c>
      <c r="D34" s="449" t="s">
        <v>573</v>
      </c>
      <c r="E34" s="445" t="s">
        <v>2202</v>
      </c>
      <c r="F34" s="802">
        <v>1</v>
      </c>
      <c r="G34" s="802"/>
      <c r="H34" s="490" t="s">
        <v>968</v>
      </c>
      <c r="I34" s="724" t="s">
        <v>971</v>
      </c>
      <c r="J34" s="552" t="s">
        <v>1364</v>
      </c>
      <c r="K34" s="724" t="s">
        <v>839</v>
      </c>
      <c r="L34" s="845">
        <f>O34/3.75</f>
        <v>22.674666666666667</v>
      </c>
      <c r="M34" s="505">
        <v>0</v>
      </c>
      <c r="N34" s="479">
        <v>39904</v>
      </c>
      <c r="O34" s="804">
        <v>85.03</v>
      </c>
      <c r="P34" s="532" t="s">
        <v>728</v>
      </c>
      <c r="Q34" s="845"/>
      <c r="R34" s="478"/>
      <c r="S34" s="478"/>
      <c r="T34" s="880"/>
      <c r="U34" s="479"/>
      <c r="V34" s="478"/>
      <c r="W34" s="480"/>
      <c r="X34" s="503"/>
      <c r="Y34" s="445" t="s">
        <v>1084</v>
      </c>
      <c r="Z34" s="532" t="s">
        <v>1238</v>
      </c>
      <c r="AA34" s="805">
        <v>40541</v>
      </c>
      <c r="AB34" s="479"/>
      <c r="AC34" s="805">
        <v>40267</v>
      </c>
      <c r="AD34" s="805">
        <v>39465</v>
      </c>
      <c r="AE34" s="805"/>
      <c r="AF34" s="805"/>
      <c r="AG34" s="480"/>
      <c r="AH34" s="505">
        <f>4.69*2</f>
        <v>9.3800000000000008</v>
      </c>
      <c r="AI34" s="478">
        <f>27301/AH34</f>
        <v>2910.554371002132</v>
      </c>
      <c r="AJ34" s="480"/>
      <c r="AK34" s="480"/>
      <c r="AL34" s="480"/>
      <c r="AM34" s="480"/>
      <c r="AN34" s="480"/>
      <c r="AO34" s="480"/>
      <c r="AP34" s="787"/>
      <c r="AQ34" s="51"/>
      <c r="AR34" s="820"/>
      <c r="AS34" s="820"/>
      <c r="AT34" s="820"/>
      <c r="AU34" s="820"/>
      <c r="AV34" s="464"/>
    </row>
    <row r="35" spans="1:48" s="474" customFormat="1" ht="13.15" customHeight="1">
      <c r="A35" s="467" t="s">
        <v>2621</v>
      </c>
      <c r="B35" s="468" t="s">
        <v>2663</v>
      </c>
      <c r="C35" s="445" t="s">
        <v>2617</v>
      </c>
      <c r="D35" s="449" t="s">
        <v>573</v>
      </c>
      <c r="E35" s="445" t="s">
        <v>2649</v>
      </c>
      <c r="F35" s="420">
        <v>1</v>
      </c>
      <c r="G35" s="420"/>
      <c r="H35" s="421" t="s">
        <v>968</v>
      </c>
      <c r="I35" s="448" t="s">
        <v>981</v>
      </c>
      <c r="J35" s="420" t="s">
        <v>1173</v>
      </c>
      <c r="K35" s="455" t="s">
        <v>4</v>
      </c>
      <c r="L35" s="422">
        <v>84.537000000000006</v>
      </c>
      <c r="M35" s="423">
        <v>0</v>
      </c>
      <c r="N35" s="444">
        <v>40787</v>
      </c>
      <c r="O35" s="424">
        <v>112.71599999999999</v>
      </c>
      <c r="P35" s="445" t="s">
        <v>1087</v>
      </c>
      <c r="Q35" s="422">
        <f>105.593</f>
        <v>105.593</v>
      </c>
      <c r="R35" s="425"/>
      <c r="S35" s="425"/>
      <c r="T35" s="881"/>
      <c r="U35" s="444">
        <v>41274</v>
      </c>
      <c r="V35" s="425">
        <v>112.79320273972603</v>
      </c>
      <c r="W35" s="419"/>
      <c r="X35" s="543"/>
      <c r="Y35" s="445" t="s">
        <v>1084</v>
      </c>
      <c r="Z35" s="419" t="s">
        <v>2650</v>
      </c>
      <c r="AA35" s="431">
        <v>40805</v>
      </c>
      <c r="AB35" s="431"/>
      <c r="AC35" s="431">
        <v>40737</v>
      </c>
      <c r="AD35" s="431">
        <v>40801</v>
      </c>
      <c r="AE35" s="431"/>
      <c r="AF35" s="431"/>
      <c r="AG35" s="420"/>
      <c r="AH35" s="420"/>
      <c r="AI35" s="420"/>
      <c r="AJ35" s="420"/>
      <c r="AK35" s="420"/>
      <c r="AL35" s="420"/>
      <c r="AM35" s="420"/>
      <c r="AN35" s="420"/>
      <c r="AO35" s="419"/>
      <c r="AP35" s="463"/>
      <c r="AQ35" s="51"/>
    </row>
    <row r="36" spans="1:48" s="474" customFormat="1" ht="13.15" customHeight="1">
      <c r="A36" s="467" t="s">
        <v>2916</v>
      </c>
      <c r="B36" s="499" t="s">
        <v>4035</v>
      </c>
      <c r="C36" s="445" t="s">
        <v>2931</v>
      </c>
      <c r="D36" s="449" t="s">
        <v>573</v>
      </c>
      <c r="E36" s="445" t="s">
        <v>2052</v>
      </c>
      <c r="F36" s="420">
        <v>1</v>
      </c>
      <c r="G36" s="420"/>
      <c r="H36" s="421" t="s">
        <v>968</v>
      </c>
      <c r="I36" s="455" t="s">
        <v>1082</v>
      </c>
      <c r="J36" s="552" t="s">
        <v>687</v>
      </c>
      <c r="K36" s="724" t="s">
        <v>14</v>
      </c>
      <c r="L36" s="422">
        <v>16.196000000000002</v>
      </c>
      <c r="M36" s="423">
        <v>8</v>
      </c>
      <c r="N36" s="444">
        <v>40695</v>
      </c>
      <c r="O36" s="424">
        <v>25.405999999999999</v>
      </c>
      <c r="P36" s="1001" t="s">
        <v>1087</v>
      </c>
      <c r="Q36" s="422"/>
      <c r="R36" s="425"/>
      <c r="S36" s="425"/>
      <c r="T36" s="881"/>
      <c r="U36" s="444"/>
      <c r="V36" s="425"/>
      <c r="W36" s="419"/>
      <c r="X36" s="543"/>
      <c r="Y36" s="445" t="s">
        <v>1084</v>
      </c>
      <c r="Z36" s="445" t="s">
        <v>605</v>
      </c>
      <c r="AA36" s="431">
        <v>40928</v>
      </c>
      <c r="AB36" s="431"/>
      <c r="AC36" s="431">
        <v>40878</v>
      </c>
      <c r="AD36" s="431">
        <v>40830</v>
      </c>
      <c r="AE36" s="431"/>
      <c r="AF36" s="431"/>
      <c r="AG36" s="419"/>
      <c r="AH36" s="419">
        <v>0</v>
      </c>
      <c r="AI36" s="419"/>
      <c r="AJ36" s="423">
        <f>2.971/Exch!B11</f>
        <v>3.5186696752022733</v>
      </c>
      <c r="AK36" s="423">
        <f>AJ36*1000/L36</f>
        <v>217.25547512980197</v>
      </c>
      <c r="AL36" s="419"/>
      <c r="AM36" s="419"/>
      <c r="AN36" s="419"/>
      <c r="AO36" s="445" t="s">
        <v>2932</v>
      </c>
      <c r="AP36" s="463"/>
      <c r="AQ36" s="466"/>
    </row>
    <row r="37" spans="1:48" s="474" customFormat="1" ht="13.15" customHeight="1">
      <c r="A37" s="467" t="s">
        <v>3681</v>
      </c>
      <c r="B37" s="499" t="s">
        <v>4034</v>
      </c>
      <c r="C37" s="445" t="s">
        <v>3695</v>
      </c>
      <c r="D37" s="449" t="s">
        <v>573</v>
      </c>
      <c r="E37" s="419" t="s">
        <v>1627</v>
      </c>
      <c r="F37" s="420">
        <v>1</v>
      </c>
      <c r="G37" s="420"/>
      <c r="H37" s="421" t="s">
        <v>968</v>
      </c>
      <c r="I37" s="471" t="s">
        <v>1548</v>
      </c>
      <c r="J37" s="419" t="s">
        <v>235</v>
      </c>
      <c r="K37" s="450" t="s">
        <v>882</v>
      </c>
      <c r="L37" s="422">
        <f>O37/5</f>
        <v>40.947800000000001</v>
      </c>
      <c r="M37" s="423">
        <v>11</v>
      </c>
      <c r="N37" s="444">
        <v>39448</v>
      </c>
      <c r="O37" s="424">
        <v>204.739</v>
      </c>
      <c r="P37" s="727" t="s">
        <v>1732</v>
      </c>
      <c r="Q37" s="422"/>
      <c r="R37" s="419"/>
      <c r="S37" s="419"/>
      <c r="T37" s="881"/>
      <c r="U37" s="444"/>
      <c r="V37" s="425"/>
      <c r="W37" s="427"/>
      <c r="X37" s="543"/>
      <c r="Y37" s="419" t="s">
        <v>3697</v>
      </c>
      <c r="Z37" s="445" t="s">
        <v>3698</v>
      </c>
      <c r="AA37" s="430">
        <v>41253</v>
      </c>
      <c r="AB37" s="430"/>
      <c r="AC37" s="431">
        <v>41244</v>
      </c>
      <c r="AD37" s="431">
        <v>41204</v>
      </c>
      <c r="AE37" s="431"/>
      <c r="AF37" s="431"/>
      <c r="AG37" s="423"/>
      <c r="AH37" s="423">
        <v>0</v>
      </c>
      <c r="AI37" s="425"/>
      <c r="AJ37" s="423">
        <f>57.7/Exch!B11</f>
        <v>68.336331288849266</v>
      </c>
      <c r="AK37" s="423">
        <f>AJ37*1000/L37</f>
        <v>1668.8645370166228</v>
      </c>
      <c r="AL37" s="423"/>
      <c r="AM37" s="423"/>
      <c r="AN37" s="423"/>
      <c r="AO37" s="419" t="s">
        <v>3696</v>
      </c>
      <c r="AP37" s="463"/>
      <c r="AQ37" s="782"/>
    </row>
    <row r="38" spans="1:48" s="474" customFormat="1" ht="13.15" customHeight="1">
      <c r="A38" s="51" t="s">
        <v>1530</v>
      </c>
      <c r="B38" s="63">
        <v>2</v>
      </c>
      <c r="C38" s="51" t="s">
        <v>1322</v>
      </c>
      <c r="D38" s="54" t="s">
        <v>573</v>
      </c>
      <c r="E38" s="51"/>
      <c r="F38" s="54">
        <v>2</v>
      </c>
      <c r="G38" s="54"/>
      <c r="H38" s="61" t="s">
        <v>1712</v>
      </c>
      <c r="I38" s="68" t="s">
        <v>971</v>
      </c>
      <c r="J38" s="51"/>
      <c r="K38" s="61" t="s">
        <v>680</v>
      </c>
      <c r="L38" s="888">
        <v>164.792</v>
      </c>
      <c r="M38" s="92"/>
      <c r="N38" s="122">
        <v>39448</v>
      </c>
      <c r="O38" s="942">
        <f>L38*5</f>
        <v>823.96</v>
      </c>
      <c r="P38" s="51" t="s">
        <v>1731</v>
      </c>
      <c r="Q38" s="888"/>
      <c r="R38" s="51"/>
      <c r="S38" s="51"/>
      <c r="T38" s="891"/>
      <c r="U38" s="122"/>
      <c r="V38" s="361"/>
      <c r="W38" s="382"/>
      <c r="X38" s="870"/>
      <c r="Y38" s="51" t="s">
        <v>416</v>
      </c>
      <c r="Z38" s="51" t="s">
        <v>1318</v>
      </c>
      <c r="AA38" s="864">
        <v>39022</v>
      </c>
      <c r="AB38" s="864"/>
      <c r="AC38" s="864"/>
      <c r="AD38" s="864"/>
      <c r="AE38" s="864"/>
      <c r="AF38" s="864"/>
      <c r="AG38" s="949"/>
      <c r="AH38" s="949"/>
      <c r="AI38" s="779"/>
      <c r="AJ38" s="949"/>
      <c r="AK38" s="949"/>
      <c r="AL38" s="949"/>
      <c r="AM38" s="949"/>
      <c r="AN38" s="949"/>
      <c r="AO38" s="51" t="s">
        <v>1317</v>
      </c>
      <c r="AP38" s="463"/>
      <c r="AQ38" s="51"/>
    </row>
    <row r="39" spans="1:48" s="474" customFormat="1" ht="13.15" customHeight="1">
      <c r="A39" s="51" t="s">
        <v>384</v>
      </c>
      <c r="B39" s="63">
        <v>16</v>
      </c>
      <c r="C39" s="51" t="s">
        <v>388</v>
      </c>
      <c r="D39" s="54" t="s">
        <v>573</v>
      </c>
      <c r="E39" s="51"/>
      <c r="F39" s="54">
        <v>2</v>
      </c>
      <c r="G39" s="54"/>
      <c r="H39" s="61" t="s">
        <v>1712</v>
      </c>
      <c r="I39" s="68" t="s">
        <v>971</v>
      </c>
      <c r="J39" s="51"/>
      <c r="K39" s="61" t="s">
        <v>839</v>
      </c>
      <c r="L39" s="888">
        <v>32.700000000000003</v>
      </c>
      <c r="M39" s="92"/>
      <c r="N39" s="122">
        <v>39448</v>
      </c>
      <c r="O39" s="942">
        <f>5*L39</f>
        <v>163.5</v>
      </c>
      <c r="P39" s="51" t="s">
        <v>728</v>
      </c>
      <c r="Q39" s="888"/>
      <c r="R39" s="51"/>
      <c r="S39" s="51"/>
      <c r="T39" s="891"/>
      <c r="U39" s="122"/>
      <c r="V39" s="361"/>
      <c r="W39" s="382"/>
      <c r="X39" s="870"/>
      <c r="Y39" s="443" t="s">
        <v>1084</v>
      </c>
      <c r="Z39" s="51" t="s">
        <v>389</v>
      </c>
      <c r="AA39" s="945">
        <v>39066</v>
      </c>
      <c r="AB39" s="945"/>
      <c r="AC39" s="864"/>
      <c r="AD39" s="864"/>
      <c r="AE39" s="864"/>
      <c r="AF39" s="864"/>
      <c r="AG39" s="92"/>
      <c r="AH39" s="92">
        <v>8.6999999999999993</v>
      </c>
      <c r="AI39" s="361"/>
      <c r="AJ39" s="92"/>
      <c r="AK39" s="92"/>
      <c r="AL39" s="92"/>
      <c r="AM39" s="92"/>
      <c r="AN39" s="92"/>
      <c r="AO39" s="51" t="s">
        <v>390</v>
      </c>
      <c r="AP39" s="463"/>
      <c r="AQ39" s="51"/>
      <c r="AR39" s="464"/>
      <c r="AS39" s="464"/>
      <c r="AT39" s="464"/>
      <c r="AU39" s="464"/>
      <c r="AV39" s="464"/>
    </row>
    <row r="40" spans="1:48" s="474" customFormat="1" ht="13.15" customHeight="1">
      <c r="A40" s="51" t="s">
        <v>1590</v>
      </c>
      <c r="B40" s="59">
        <v>100</v>
      </c>
      <c r="C40" s="302" t="s">
        <v>1589</v>
      </c>
      <c r="D40" s="55" t="s">
        <v>573</v>
      </c>
      <c r="E40" s="52"/>
      <c r="F40" s="54">
        <v>2</v>
      </c>
      <c r="G40" s="54"/>
      <c r="H40" s="61" t="s">
        <v>1712</v>
      </c>
      <c r="I40" s="60" t="s">
        <v>1082</v>
      </c>
      <c r="J40" s="51" t="s">
        <v>1464</v>
      </c>
      <c r="K40" s="863" t="s">
        <v>2001</v>
      </c>
      <c r="L40" s="888">
        <v>29.771999999999998</v>
      </c>
      <c r="M40" s="92"/>
      <c r="N40" s="122">
        <v>39448</v>
      </c>
      <c r="O40" s="942">
        <f>5*L40</f>
        <v>148.85999999999999</v>
      </c>
      <c r="P40" s="51" t="s">
        <v>1732</v>
      </c>
      <c r="Q40" s="981"/>
      <c r="R40" s="52"/>
      <c r="S40" s="52"/>
      <c r="T40" s="882"/>
      <c r="U40" s="854"/>
      <c r="V40" s="385"/>
      <c r="W40" s="383"/>
      <c r="X40" s="482"/>
      <c r="Y40" s="51" t="s">
        <v>416</v>
      </c>
      <c r="Z40" s="51" t="s">
        <v>1084</v>
      </c>
      <c r="AA40" s="944">
        <v>39420</v>
      </c>
      <c r="AB40" s="944"/>
      <c r="AC40" s="946"/>
      <c r="AD40" s="946"/>
      <c r="AE40" s="946"/>
      <c r="AF40" s="946"/>
      <c r="AG40" s="92"/>
      <c r="AH40" s="92"/>
      <c r="AI40" s="361"/>
      <c r="AJ40" s="92"/>
      <c r="AK40" s="92"/>
      <c r="AL40" s="92"/>
      <c r="AM40" s="92"/>
      <c r="AN40" s="92"/>
      <c r="AO40" s="52" t="s">
        <v>1591</v>
      </c>
      <c r="AP40" s="463"/>
      <c r="AQ40" s="466"/>
    </row>
    <row r="41" spans="1:48" s="474" customFormat="1" ht="13.15" customHeight="1">
      <c r="A41" s="51" t="s">
        <v>1231</v>
      </c>
      <c r="B41" s="59">
        <v>101</v>
      </c>
      <c r="C41" s="302" t="s">
        <v>1236</v>
      </c>
      <c r="D41" s="55" t="s">
        <v>573</v>
      </c>
      <c r="E41" s="52"/>
      <c r="F41" s="54">
        <v>2</v>
      </c>
      <c r="G41" s="54"/>
      <c r="H41" s="61" t="s">
        <v>1712</v>
      </c>
      <c r="I41" s="60" t="s">
        <v>971</v>
      </c>
      <c r="J41" s="51" t="s">
        <v>1321</v>
      </c>
      <c r="K41" s="61" t="s">
        <v>839</v>
      </c>
      <c r="L41" s="888">
        <v>21.34</v>
      </c>
      <c r="M41" s="92"/>
      <c r="N41" s="122">
        <v>39448</v>
      </c>
      <c r="O41" s="942">
        <f>5*L41</f>
        <v>106.7</v>
      </c>
      <c r="P41" s="51" t="s">
        <v>1732</v>
      </c>
      <c r="Q41" s="981"/>
      <c r="R41" s="52"/>
      <c r="S41" s="52"/>
      <c r="T41" s="882"/>
      <c r="U41" s="854"/>
      <c r="V41" s="385"/>
      <c r="W41" s="383"/>
      <c r="X41" s="482"/>
      <c r="Y41" s="51" t="s">
        <v>1237</v>
      </c>
      <c r="Z41" s="51" t="s">
        <v>1238</v>
      </c>
      <c r="AA41" s="944">
        <v>39423</v>
      </c>
      <c r="AB41" s="944"/>
      <c r="AC41" s="946"/>
      <c r="AD41" s="946"/>
      <c r="AE41" s="946"/>
      <c r="AF41" s="946"/>
      <c r="AG41" s="92"/>
      <c r="AH41" s="92">
        <v>6.9</v>
      </c>
      <c r="AI41" s="361"/>
      <c r="AJ41" s="92"/>
      <c r="AK41" s="92"/>
      <c r="AL41" s="92"/>
      <c r="AM41" s="92"/>
      <c r="AN41" s="92"/>
      <c r="AO41" s="52"/>
      <c r="AP41" s="463"/>
      <c r="AQ41" s="64"/>
    </row>
    <row r="42" spans="1:48" s="474" customFormat="1" ht="13.15" customHeight="1">
      <c r="A42" s="51" t="s">
        <v>210</v>
      </c>
      <c r="B42" s="59">
        <v>127</v>
      </c>
      <c r="C42" s="302" t="s">
        <v>247</v>
      </c>
      <c r="D42" s="55" t="s">
        <v>573</v>
      </c>
      <c r="E42" s="52" t="s">
        <v>248</v>
      </c>
      <c r="F42" s="54">
        <v>2</v>
      </c>
      <c r="G42" s="54"/>
      <c r="H42" s="61" t="s">
        <v>1712</v>
      </c>
      <c r="I42" s="68" t="s">
        <v>1489</v>
      </c>
      <c r="J42" s="461" t="s">
        <v>1710</v>
      </c>
      <c r="K42" s="58" t="s">
        <v>689</v>
      </c>
      <c r="L42" s="888">
        <v>31.366</v>
      </c>
      <c r="M42" s="92"/>
      <c r="N42" s="122">
        <v>39814</v>
      </c>
      <c r="O42" s="942">
        <f>L42*4</f>
        <v>125.464</v>
      </c>
      <c r="P42" s="51" t="s">
        <v>896</v>
      </c>
      <c r="Q42" s="981"/>
      <c r="R42" s="52"/>
      <c r="S42" s="52"/>
      <c r="T42" s="882"/>
      <c r="U42" s="854"/>
      <c r="V42" s="385"/>
      <c r="W42" s="383"/>
      <c r="X42" s="482"/>
      <c r="Y42" s="51" t="s">
        <v>731</v>
      </c>
      <c r="Z42" s="51" t="s">
        <v>249</v>
      </c>
      <c r="AA42" s="944">
        <v>39527</v>
      </c>
      <c r="AB42" s="944"/>
      <c r="AC42" s="946"/>
      <c r="AD42" s="946"/>
      <c r="AE42" s="946"/>
      <c r="AF42" s="946"/>
      <c r="AG42" s="92"/>
      <c r="AH42" s="92">
        <v>0</v>
      </c>
      <c r="AI42" s="361"/>
      <c r="AJ42" s="92"/>
      <c r="AK42" s="92"/>
      <c r="AL42" s="92"/>
      <c r="AM42" s="92"/>
      <c r="AN42" s="92"/>
      <c r="AO42" s="52"/>
      <c r="AP42" s="463"/>
      <c r="AQ42" s="782"/>
    </row>
    <row r="43" spans="1:48" s="474" customFormat="1" ht="13.15" customHeight="1">
      <c r="A43" s="51" t="s">
        <v>1147</v>
      </c>
      <c r="B43" s="59">
        <v>139</v>
      </c>
      <c r="C43" s="302" t="s">
        <v>1161</v>
      </c>
      <c r="D43" s="55" t="s">
        <v>573</v>
      </c>
      <c r="E43" s="52" t="s">
        <v>1164</v>
      </c>
      <c r="F43" s="54">
        <v>2</v>
      </c>
      <c r="G43" s="54"/>
      <c r="H43" s="61" t="s">
        <v>1712</v>
      </c>
      <c r="I43" s="68" t="s">
        <v>970</v>
      </c>
      <c r="J43" s="51" t="s">
        <v>970</v>
      </c>
      <c r="K43" s="58" t="s">
        <v>680</v>
      </c>
      <c r="L43" s="888">
        <v>242.227</v>
      </c>
      <c r="M43" s="92">
        <v>20</v>
      </c>
      <c r="N43" s="122">
        <v>40087</v>
      </c>
      <c r="O43" s="942">
        <f>L43*3.25</f>
        <v>787.23775000000001</v>
      </c>
      <c r="P43" s="51" t="s">
        <v>1732</v>
      </c>
      <c r="Q43" s="981"/>
      <c r="R43" s="52"/>
      <c r="S43" s="52"/>
      <c r="T43" s="882"/>
      <c r="U43" s="854"/>
      <c r="V43" s="385"/>
      <c r="W43" s="383"/>
      <c r="X43" s="482"/>
      <c r="Y43" s="51" t="s">
        <v>1248</v>
      </c>
      <c r="Z43" s="51" t="s">
        <v>1162</v>
      </c>
      <c r="AA43" s="944">
        <v>39590</v>
      </c>
      <c r="AB43" s="944"/>
      <c r="AC43" s="946"/>
      <c r="AD43" s="946"/>
      <c r="AE43" s="946"/>
      <c r="AF43" s="946"/>
      <c r="AG43" s="361"/>
      <c r="AH43" s="92">
        <v>156</v>
      </c>
      <c r="AI43" s="361">
        <f>340000/AH43</f>
        <v>2179.4871794871797</v>
      </c>
      <c r="AJ43" s="361"/>
      <c r="AK43" s="361"/>
      <c r="AL43" s="361"/>
      <c r="AM43" s="361"/>
      <c r="AN43" s="361"/>
      <c r="AO43" s="52" t="s">
        <v>1163</v>
      </c>
      <c r="AP43" s="463"/>
      <c r="AQ43" s="51"/>
    </row>
    <row r="44" spans="1:48" s="474" customFormat="1" ht="13.15" customHeight="1">
      <c r="A44" s="51" t="s">
        <v>1409</v>
      </c>
      <c r="B44" s="63">
        <v>162</v>
      </c>
      <c r="C44" s="64" t="s">
        <v>1411</v>
      </c>
      <c r="D44" s="54" t="s">
        <v>573</v>
      </c>
      <c r="E44" s="51" t="s">
        <v>1461</v>
      </c>
      <c r="F44" s="54">
        <v>2</v>
      </c>
      <c r="G44" s="54"/>
      <c r="H44" s="61" t="s">
        <v>1712</v>
      </c>
      <c r="I44" s="68" t="s">
        <v>971</v>
      </c>
      <c r="J44" s="330" t="s">
        <v>1321</v>
      </c>
      <c r="K44" s="61" t="s">
        <v>680</v>
      </c>
      <c r="L44" s="888">
        <v>18.873999999999999</v>
      </c>
      <c r="M44" s="92">
        <v>2</v>
      </c>
      <c r="N44" s="122">
        <v>39448</v>
      </c>
      <c r="O44" s="942">
        <f>L44*5</f>
        <v>94.36999999999999</v>
      </c>
      <c r="P44" s="51" t="s">
        <v>1731</v>
      </c>
      <c r="Q44" s="888"/>
      <c r="R44" s="51"/>
      <c r="S44" s="51"/>
      <c r="T44" s="891"/>
      <c r="U44" s="122"/>
      <c r="V44" s="361"/>
      <c r="W44" s="382"/>
      <c r="X44" s="870"/>
      <c r="Y44" s="51" t="s">
        <v>1084</v>
      </c>
      <c r="Z44" s="51" t="s">
        <v>678</v>
      </c>
      <c r="AA44" s="945">
        <v>39732</v>
      </c>
      <c r="AB44" s="945"/>
      <c r="AC44" s="864"/>
      <c r="AD44" s="864"/>
      <c r="AE44" s="945"/>
      <c r="AF44" s="864"/>
      <c r="AG44" s="198"/>
      <c r="AH44" s="198">
        <v>16</v>
      </c>
      <c r="AI44" s="888">
        <f>25000/AH44</f>
        <v>1562.5</v>
      </c>
      <c r="AJ44" s="888"/>
      <c r="AK44" s="888"/>
      <c r="AL44" s="888"/>
      <c r="AM44" s="198"/>
      <c r="AN44" s="888"/>
      <c r="AO44" s="443" t="s">
        <v>2779</v>
      </c>
      <c r="AP44" s="463"/>
      <c r="AQ44" s="64"/>
    </row>
    <row r="45" spans="1:48" s="474" customFormat="1" ht="13.15" customHeight="1">
      <c r="A45" s="51" t="s">
        <v>1556</v>
      </c>
      <c r="B45" s="63">
        <v>175</v>
      </c>
      <c r="C45" s="64" t="s">
        <v>601</v>
      </c>
      <c r="D45" s="54" t="s">
        <v>573</v>
      </c>
      <c r="E45" s="51" t="s">
        <v>604</v>
      </c>
      <c r="F45" s="54">
        <v>2</v>
      </c>
      <c r="G45" s="54"/>
      <c r="H45" s="61" t="s">
        <v>1712</v>
      </c>
      <c r="I45" s="68" t="s">
        <v>970</v>
      </c>
      <c r="J45" s="1036" t="s">
        <v>970</v>
      </c>
      <c r="K45" s="61" t="s">
        <v>680</v>
      </c>
      <c r="L45" s="888">
        <v>116.57250000000001</v>
      </c>
      <c r="M45" s="92">
        <v>0</v>
      </c>
      <c r="N45" s="122">
        <v>40179</v>
      </c>
      <c r="O45" s="942">
        <f>L45*3</f>
        <v>349.71750000000003</v>
      </c>
      <c r="P45" s="52" t="s">
        <v>728</v>
      </c>
      <c r="Q45" s="888"/>
      <c r="R45" s="51"/>
      <c r="S45" s="51"/>
      <c r="T45" s="891"/>
      <c r="U45" s="122"/>
      <c r="V45" s="361"/>
      <c r="W45" s="382"/>
      <c r="X45" s="870"/>
      <c r="Y45" s="443" t="s">
        <v>1084</v>
      </c>
      <c r="Z45" s="51" t="s">
        <v>605</v>
      </c>
      <c r="AA45" s="945">
        <v>39900</v>
      </c>
      <c r="AB45" s="945"/>
      <c r="AC45" s="864"/>
      <c r="AD45" s="864"/>
      <c r="AE45" s="864"/>
      <c r="AF45" s="864"/>
      <c r="AG45" s="92"/>
      <c r="AH45" s="92">
        <v>80</v>
      </c>
      <c r="AI45" s="361">
        <f>141350/AH45</f>
        <v>1766.875</v>
      </c>
      <c r="AJ45" s="361"/>
      <c r="AK45" s="361"/>
      <c r="AL45" s="361"/>
      <c r="AM45" s="92"/>
      <c r="AN45" s="361"/>
      <c r="AO45" s="51" t="s">
        <v>602</v>
      </c>
      <c r="AP45" s="463"/>
      <c r="AQ45" s="51"/>
    </row>
    <row r="46" spans="1:48" s="474" customFormat="1" ht="13.15" customHeight="1">
      <c r="A46" s="51" t="s">
        <v>1178</v>
      </c>
      <c r="B46" s="59" t="s">
        <v>1179</v>
      </c>
      <c r="C46" s="405" t="s">
        <v>1180</v>
      </c>
      <c r="D46" s="392" t="s">
        <v>255</v>
      </c>
      <c r="E46" s="391" t="s">
        <v>1184</v>
      </c>
      <c r="F46" s="392">
        <v>1</v>
      </c>
      <c r="G46" s="392"/>
      <c r="H46" s="393" t="s">
        <v>968</v>
      </c>
      <c r="I46" s="861" t="s">
        <v>981</v>
      </c>
      <c r="J46" s="391" t="s">
        <v>1173</v>
      </c>
      <c r="K46" s="393" t="s">
        <v>1183</v>
      </c>
      <c r="L46" s="395">
        <v>595</v>
      </c>
      <c r="M46" s="396">
        <v>0</v>
      </c>
      <c r="N46" s="397">
        <v>39448</v>
      </c>
      <c r="O46" s="908">
        <f>L46*5</f>
        <v>2975</v>
      </c>
      <c r="P46" s="391" t="s">
        <v>1731</v>
      </c>
      <c r="Q46" s="395"/>
      <c r="R46" s="399"/>
      <c r="S46" s="399"/>
      <c r="T46" s="879"/>
      <c r="U46" s="397"/>
      <c r="V46" s="399"/>
      <c r="W46" s="400"/>
      <c r="X46" s="503"/>
      <c r="Y46" s="391" t="s">
        <v>39</v>
      </c>
      <c r="Z46" s="391" t="s">
        <v>1181</v>
      </c>
      <c r="AA46" s="909">
        <v>39986</v>
      </c>
      <c r="AB46" s="909"/>
      <c r="AC46" s="397"/>
      <c r="AD46" s="397"/>
      <c r="AE46" s="397"/>
      <c r="AF46" s="397"/>
      <c r="AG46" s="396"/>
      <c r="AH46" s="396"/>
      <c r="AI46" s="399"/>
      <c r="AJ46" s="396"/>
      <c r="AK46" s="396"/>
      <c r="AL46" s="396"/>
      <c r="AM46" s="396"/>
      <c r="AN46" s="396"/>
      <c r="AO46" s="391" t="s">
        <v>1182</v>
      </c>
      <c r="AP46" s="790">
        <v>1462</v>
      </c>
      <c r="AQ46" s="784" t="s">
        <v>2815</v>
      </c>
    </row>
    <row r="47" spans="1:48" s="474" customFormat="1" ht="13.15" customHeight="1">
      <c r="A47" s="51" t="s">
        <v>1607</v>
      </c>
      <c r="B47" s="59" t="s">
        <v>1625</v>
      </c>
      <c r="C47" s="405" t="s">
        <v>1626</v>
      </c>
      <c r="D47" s="392" t="s">
        <v>255</v>
      </c>
      <c r="E47" s="970" t="s">
        <v>1627</v>
      </c>
      <c r="F47" s="392">
        <v>1</v>
      </c>
      <c r="G47" s="392"/>
      <c r="H47" s="393" t="s">
        <v>968</v>
      </c>
      <c r="I47" s="861" t="s">
        <v>1082</v>
      </c>
      <c r="J47" s="391"/>
      <c r="K47" s="490" t="s">
        <v>2001</v>
      </c>
      <c r="L47" s="395">
        <f>O47/5</f>
        <v>104.46400000000001</v>
      </c>
      <c r="M47" s="396">
        <v>0</v>
      </c>
      <c r="N47" s="397">
        <v>39448</v>
      </c>
      <c r="O47" s="398">
        <v>522.32000000000005</v>
      </c>
      <c r="P47" s="391" t="s">
        <v>1486</v>
      </c>
      <c r="Q47" s="395"/>
      <c r="R47" s="399"/>
      <c r="S47" s="399"/>
      <c r="T47" s="879"/>
      <c r="U47" s="397"/>
      <c r="V47" s="399"/>
      <c r="W47" s="400"/>
      <c r="X47" s="545"/>
      <c r="Y47" s="391" t="s">
        <v>1624</v>
      </c>
      <c r="Z47" s="391" t="s">
        <v>1623</v>
      </c>
      <c r="AA47" s="402">
        <v>40007</v>
      </c>
      <c r="AB47" s="402"/>
      <c r="AC47" s="401"/>
      <c r="AD47" s="401">
        <v>40228</v>
      </c>
      <c r="AE47" s="401"/>
      <c r="AF47" s="401"/>
      <c r="AG47" s="396"/>
      <c r="AH47" s="396">
        <v>0</v>
      </c>
      <c r="AI47" s="399"/>
      <c r="AJ47" s="396"/>
      <c r="AK47" s="396"/>
      <c r="AL47" s="396"/>
      <c r="AM47" s="396"/>
      <c r="AN47" s="396"/>
      <c r="AO47" s="391" t="s">
        <v>1628</v>
      </c>
      <c r="AP47" s="514"/>
      <c r="AQ47" s="51"/>
    </row>
    <row r="48" spans="1:48" s="474" customFormat="1" ht="13.15" customHeight="1">
      <c r="A48" s="51" t="s">
        <v>1648</v>
      </c>
      <c r="B48" s="59" t="s">
        <v>1637</v>
      </c>
      <c r="C48" s="391" t="s">
        <v>1647</v>
      </c>
      <c r="D48" s="392" t="s">
        <v>255</v>
      </c>
      <c r="E48" s="391" t="s">
        <v>1669</v>
      </c>
      <c r="F48" s="392">
        <v>1</v>
      </c>
      <c r="G48" s="392"/>
      <c r="H48" s="393" t="s">
        <v>968</v>
      </c>
      <c r="I48" s="394" t="s">
        <v>1488</v>
      </c>
      <c r="J48" s="391" t="s">
        <v>1709</v>
      </c>
      <c r="K48" s="490" t="s">
        <v>2001</v>
      </c>
      <c r="L48" s="390">
        <v>2.6859999999999999</v>
      </c>
      <c r="M48" s="396">
        <v>0</v>
      </c>
      <c r="N48" s="397">
        <v>39448</v>
      </c>
      <c r="O48" s="398">
        <f t="shared" ref="O48:O58" si="1">L48*5</f>
        <v>13.43</v>
      </c>
      <c r="P48" s="391" t="s">
        <v>1084</v>
      </c>
      <c r="Q48" s="395">
        <v>3.1440000000000001</v>
      </c>
      <c r="R48" s="396"/>
      <c r="S48" s="396"/>
      <c r="T48" s="879">
        <v>40072</v>
      </c>
      <c r="U48" s="397">
        <v>39813</v>
      </c>
      <c r="V48" s="399">
        <v>2.6859999999999999</v>
      </c>
      <c r="W48" s="400">
        <f t="shared" ref="W48:W56" si="2">Q48/V48</f>
        <v>1.1705137751303054</v>
      </c>
      <c r="X48" s="545" t="s">
        <v>1658</v>
      </c>
      <c r="Y48" s="391" t="s">
        <v>1084</v>
      </c>
      <c r="Z48" s="391" t="s">
        <v>1659</v>
      </c>
      <c r="AA48" s="402">
        <v>40065</v>
      </c>
      <c r="AB48" s="402"/>
      <c r="AC48" s="401"/>
      <c r="AD48" s="401"/>
      <c r="AE48" s="401"/>
      <c r="AF48" s="401"/>
      <c r="AG48" s="396"/>
      <c r="AH48" s="396">
        <v>0.14199999999999999</v>
      </c>
      <c r="AI48" s="399">
        <f>548/AH48</f>
        <v>3859.1549295774653</v>
      </c>
      <c r="AJ48" s="379"/>
      <c r="AK48" s="396"/>
      <c r="AL48" s="396"/>
      <c r="AM48" s="396"/>
      <c r="AN48" s="396"/>
      <c r="AO48" s="391"/>
      <c r="AP48" s="514"/>
      <c r="AQ48" s="782"/>
    </row>
    <row r="49" spans="1:48" s="474" customFormat="1" ht="14.25" customHeight="1">
      <c r="A49" s="51" t="s">
        <v>1650</v>
      </c>
      <c r="B49" s="59" t="s">
        <v>1638</v>
      </c>
      <c r="C49" s="391" t="s">
        <v>1660</v>
      </c>
      <c r="D49" s="392" t="s">
        <v>255</v>
      </c>
      <c r="E49" s="391" t="s">
        <v>1669</v>
      </c>
      <c r="F49" s="392">
        <v>1</v>
      </c>
      <c r="G49" s="392"/>
      <c r="H49" s="393" t="s">
        <v>968</v>
      </c>
      <c r="I49" s="394" t="s">
        <v>1488</v>
      </c>
      <c r="J49" s="391" t="s">
        <v>1709</v>
      </c>
      <c r="K49" s="490" t="s">
        <v>2001</v>
      </c>
      <c r="L49" s="390">
        <v>2.2509999999999999</v>
      </c>
      <c r="M49" s="396">
        <v>0</v>
      </c>
      <c r="N49" s="397">
        <v>39448</v>
      </c>
      <c r="O49" s="398">
        <f t="shared" si="1"/>
        <v>11.254999999999999</v>
      </c>
      <c r="P49" s="391" t="s">
        <v>1084</v>
      </c>
      <c r="Q49" s="395">
        <v>0.78900000000000003</v>
      </c>
      <c r="R49" s="396"/>
      <c r="S49" s="396"/>
      <c r="T49" s="879">
        <v>40072</v>
      </c>
      <c r="U49" s="397">
        <v>39813</v>
      </c>
      <c r="V49" s="399">
        <v>2.2509999999999999</v>
      </c>
      <c r="W49" s="400">
        <f t="shared" si="2"/>
        <v>0.35051088405153269</v>
      </c>
      <c r="X49" s="545" t="s">
        <v>1658</v>
      </c>
      <c r="Y49" s="391" t="s">
        <v>1084</v>
      </c>
      <c r="Z49" s="391" t="s">
        <v>1659</v>
      </c>
      <c r="AA49" s="402">
        <v>40065</v>
      </c>
      <c r="AB49" s="402"/>
      <c r="AC49" s="401"/>
      <c r="AD49" s="401"/>
      <c r="AE49" s="401"/>
      <c r="AF49" s="401"/>
      <c r="AG49" s="396"/>
      <c r="AH49" s="396">
        <v>0.14199999999999999</v>
      </c>
      <c r="AI49" s="399">
        <f>459/AH49</f>
        <v>3232.3943661971834</v>
      </c>
      <c r="AJ49" s="379"/>
      <c r="AK49" s="396"/>
      <c r="AL49" s="396"/>
      <c r="AM49" s="396"/>
      <c r="AN49" s="396"/>
      <c r="AO49" s="391"/>
      <c r="AP49" s="514"/>
      <c r="AQ49" s="782"/>
    </row>
    <row r="50" spans="1:48" s="474" customFormat="1" ht="13.15" customHeight="1">
      <c r="A50" s="51" t="s">
        <v>1651</v>
      </c>
      <c r="B50" s="59" t="s">
        <v>1639</v>
      </c>
      <c r="C50" s="391" t="s">
        <v>1661</v>
      </c>
      <c r="D50" s="392" t="s">
        <v>255</v>
      </c>
      <c r="E50" s="391" t="s">
        <v>1671</v>
      </c>
      <c r="F50" s="392">
        <v>1</v>
      </c>
      <c r="G50" s="392"/>
      <c r="H50" s="393" t="s">
        <v>968</v>
      </c>
      <c r="I50" s="394" t="s">
        <v>1488</v>
      </c>
      <c r="J50" s="391" t="s">
        <v>1709</v>
      </c>
      <c r="K50" s="490" t="s">
        <v>2001</v>
      </c>
      <c r="L50" s="390">
        <v>2.29</v>
      </c>
      <c r="M50" s="396">
        <v>0</v>
      </c>
      <c r="N50" s="397">
        <v>39448</v>
      </c>
      <c r="O50" s="398">
        <f t="shared" si="1"/>
        <v>11.45</v>
      </c>
      <c r="P50" s="391" t="s">
        <v>1084</v>
      </c>
      <c r="Q50" s="395">
        <v>2.214</v>
      </c>
      <c r="R50" s="396"/>
      <c r="S50" s="396"/>
      <c r="T50" s="879">
        <v>40072</v>
      </c>
      <c r="U50" s="397">
        <v>39813</v>
      </c>
      <c r="V50" s="399">
        <v>2.29</v>
      </c>
      <c r="W50" s="400">
        <f t="shared" si="2"/>
        <v>0.96681222707423575</v>
      </c>
      <c r="X50" s="545" t="s">
        <v>1658</v>
      </c>
      <c r="Y50" s="391" t="s">
        <v>1084</v>
      </c>
      <c r="Z50" s="391" t="s">
        <v>1659</v>
      </c>
      <c r="AA50" s="402">
        <v>40065</v>
      </c>
      <c r="AB50" s="402"/>
      <c r="AC50" s="401"/>
      <c r="AD50" s="401"/>
      <c r="AE50" s="401"/>
      <c r="AF50" s="401"/>
      <c r="AG50" s="396"/>
      <c r="AH50" s="396">
        <v>0.14199999999999999</v>
      </c>
      <c r="AI50" s="399">
        <f>500/AH50</f>
        <v>3521.1267605633807</v>
      </c>
      <c r="AJ50" s="379"/>
      <c r="AK50" s="396"/>
      <c r="AL50" s="396"/>
      <c r="AM50" s="396"/>
      <c r="AN50" s="396"/>
      <c r="AO50" s="391"/>
      <c r="AP50" s="514"/>
      <c r="AQ50" s="51"/>
    </row>
    <row r="51" spans="1:48" s="474" customFormat="1" ht="13.15" customHeight="1">
      <c r="A51" s="51" t="s">
        <v>1652</v>
      </c>
      <c r="B51" s="50" t="s">
        <v>1640</v>
      </c>
      <c r="C51" s="391" t="s">
        <v>1662</v>
      </c>
      <c r="D51" s="392" t="s">
        <v>255</v>
      </c>
      <c r="E51" s="391" t="s">
        <v>1672</v>
      </c>
      <c r="F51" s="392">
        <v>1</v>
      </c>
      <c r="G51" s="392"/>
      <c r="H51" s="393" t="s">
        <v>968</v>
      </c>
      <c r="I51" s="394" t="s">
        <v>1488</v>
      </c>
      <c r="J51" s="391" t="s">
        <v>1709</v>
      </c>
      <c r="K51" s="503" t="s">
        <v>2001</v>
      </c>
      <c r="L51" s="390">
        <v>3.5</v>
      </c>
      <c r="M51" s="396">
        <v>0</v>
      </c>
      <c r="N51" s="397">
        <v>39448</v>
      </c>
      <c r="O51" s="398">
        <f t="shared" si="1"/>
        <v>17.5</v>
      </c>
      <c r="P51" s="391" t="s">
        <v>1084</v>
      </c>
      <c r="Q51" s="395">
        <v>3.18</v>
      </c>
      <c r="R51" s="396"/>
      <c r="S51" s="396"/>
      <c r="T51" s="879">
        <v>40072</v>
      </c>
      <c r="U51" s="397">
        <v>39813</v>
      </c>
      <c r="V51" s="399">
        <v>3.5</v>
      </c>
      <c r="W51" s="400">
        <f t="shared" si="2"/>
        <v>0.90857142857142859</v>
      </c>
      <c r="X51" s="545" t="s">
        <v>1658</v>
      </c>
      <c r="Y51" s="391" t="s">
        <v>1084</v>
      </c>
      <c r="Z51" s="391" t="s">
        <v>1659</v>
      </c>
      <c r="AA51" s="402">
        <v>40065</v>
      </c>
      <c r="AB51" s="402"/>
      <c r="AC51" s="401"/>
      <c r="AD51" s="401"/>
      <c r="AE51" s="401"/>
      <c r="AF51" s="401"/>
      <c r="AG51" s="396"/>
      <c r="AH51" s="396">
        <v>0.14199999999999999</v>
      </c>
      <c r="AI51" s="399">
        <f>713/AH51</f>
        <v>5021.1267605633811</v>
      </c>
      <c r="AJ51" s="379"/>
      <c r="AK51" s="396"/>
      <c r="AL51" s="396"/>
      <c r="AM51" s="396"/>
      <c r="AN51" s="396"/>
      <c r="AO51" s="391"/>
      <c r="AP51" s="514"/>
      <c r="AQ51" s="51"/>
    </row>
    <row r="52" spans="1:48" s="474" customFormat="1" ht="13.15" customHeight="1">
      <c r="A52" s="51" t="s">
        <v>1653</v>
      </c>
      <c r="B52" s="59" t="s">
        <v>1641</v>
      </c>
      <c r="C52" s="391" t="s">
        <v>1668</v>
      </c>
      <c r="D52" s="392" t="s">
        <v>255</v>
      </c>
      <c r="E52" s="391" t="s">
        <v>1670</v>
      </c>
      <c r="F52" s="392">
        <v>1</v>
      </c>
      <c r="G52" s="392"/>
      <c r="H52" s="404" t="s">
        <v>968</v>
      </c>
      <c r="I52" s="394" t="s">
        <v>971</v>
      </c>
      <c r="J52" s="392" t="s">
        <v>1364</v>
      </c>
      <c r="K52" s="490" t="s">
        <v>2001</v>
      </c>
      <c r="L52" s="395">
        <v>18.371200000000002</v>
      </c>
      <c r="M52" s="396">
        <v>0</v>
      </c>
      <c r="N52" s="397">
        <v>39448</v>
      </c>
      <c r="O52" s="398">
        <f t="shared" si="1"/>
        <v>91.856000000000009</v>
      </c>
      <c r="P52" s="391" t="s">
        <v>1731</v>
      </c>
      <c r="Q52" s="395">
        <v>12.403</v>
      </c>
      <c r="R52" s="399"/>
      <c r="S52" s="399"/>
      <c r="T52" s="879">
        <v>40072</v>
      </c>
      <c r="U52" s="397">
        <v>39813</v>
      </c>
      <c r="V52" s="399">
        <v>18.371200000000002</v>
      </c>
      <c r="W52" s="400">
        <f t="shared" si="2"/>
        <v>0.67513281658247692</v>
      </c>
      <c r="X52" s="545" t="s">
        <v>1732</v>
      </c>
      <c r="Y52" s="391" t="s">
        <v>416</v>
      </c>
      <c r="Z52" s="391" t="s">
        <v>1707</v>
      </c>
      <c r="AA52" s="402">
        <v>40065</v>
      </c>
      <c r="AB52" s="402"/>
      <c r="AC52" s="401"/>
      <c r="AD52" s="401"/>
      <c r="AE52" s="401"/>
      <c r="AF52" s="401"/>
      <c r="AG52" s="390"/>
      <c r="AH52" s="390">
        <v>2.5</v>
      </c>
      <c r="AI52" s="395">
        <f>16500/AH52</f>
        <v>6600</v>
      </c>
      <c r="AJ52" s="378"/>
      <c r="AK52" s="390"/>
      <c r="AL52" s="390"/>
      <c r="AM52" s="390"/>
      <c r="AN52" s="390"/>
      <c r="AO52" s="391"/>
      <c r="AP52" s="514"/>
      <c r="AQ52" s="782"/>
    </row>
    <row r="53" spans="1:48" s="474" customFormat="1" ht="13.15" customHeight="1">
      <c r="A53" s="51" t="s">
        <v>1654</v>
      </c>
      <c r="B53" s="59" t="s">
        <v>1642</v>
      </c>
      <c r="C53" s="391" t="s">
        <v>1667</v>
      </c>
      <c r="D53" s="392" t="s">
        <v>255</v>
      </c>
      <c r="E53" s="391" t="s">
        <v>1669</v>
      </c>
      <c r="F53" s="392">
        <v>1</v>
      </c>
      <c r="G53" s="392"/>
      <c r="H53" s="393" t="s">
        <v>968</v>
      </c>
      <c r="I53" s="394" t="s">
        <v>1488</v>
      </c>
      <c r="J53" s="392" t="s">
        <v>1709</v>
      </c>
      <c r="K53" s="490" t="s">
        <v>2001</v>
      </c>
      <c r="L53" s="390">
        <v>1.9550000000000001</v>
      </c>
      <c r="M53" s="396">
        <v>0</v>
      </c>
      <c r="N53" s="397">
        <v>39448</v>
      </c>
      <c r="O53" s="398">
        <f t="shared" si="1"/>
        <v>9.7750000000000004</v>
      </c>
      <c r="P53" s="391" t="s">
        <v>1084</v>
      </c>
      <c r="Q53" s="395">
        <v>0.66900000000000004</v>
      </c>
      <c r="R53" s="396"/>
      <c r="S53" s="396"/>
      <c r="T53" s="879">
        <v>40072</v>
      </c>
      <c r="U53" s="397">
        <v>39813</v>
      </c>
      <c r="V53" s="399">
        <v>1.9550000000000001</v>
      </c>
      <c r="W53" s="400">
        <f t="shared" si="2"/>
        <v>0.34219948849104859</v>
      </c>
      <c r="X53" s="545" t="s">
        <v>1658</v>
      </c>
      <c r="Y53" s="391" t="s">
        <v>1084</v>
      </c>
      <c r="Z53" s="391" t="s">
        <v>1659</v>
      </c>
      <c r="AA53" s="402">
        <v>40065</v>
      </c>
      <c r="AB53" s="402"/>
      <c r="AC53" s="401"/>
      <c r="AD53" s="401"/>
      <c r="AE53" s="401"/>
      <c r="AF53" s="401"/>
      <c r="AG53" s="390"/>
      <c r="AH53" s="390">
        <v>0.14199999999999999</v>
      </c>
      <c r="AI53" s="395">
        <f>399/AH53</f>
        <v>2809.8591549295779</v>
      </c>
      <c r="AJ53" s="378"/>
      <c r="AK53" s="390"/>
      <c r="AL53" s="390"/>
      <c r="AM53" s="390"/>
      <c r="AN53" s="390"/>
      <c r="AO53" s="391"/>
      <c r="AP53" s="514"/>
      <c r="AQ53" s="51"/>
    </row>
    <row r="54" spans="1:48" s="474" customFormat="1" ht="13.15" customHeight="1">
      <c r="A54" s="51" t="s">
        <v>1655</v>
      </c>
      <c r="B54" s="59" t="s">
        <v>1643</v>
      </c>
      <c r="C54" s="391" t="s">
        <v>1665</v>
      </c>
      <c r="D54" s="392" t="s">
        <v>255</v>
      </c>
      <c r="E54" s="391" t="s">
        <v>1666</v>
      </c>
      <c r="F54" s="392">
        <v>1</v>
      </c>
      <c r="G54" s="392"/>
      <c r="H54" s="393" t="s">
        <v>968</v>
      </c>
      <c r="I54" s="394" t="s">
        <v>1488</v>
      </c>
      <c r="J54" s="392" t="s">
        <v>1709</v>
      </c>
      <c r="K54" s="490" t="s">
        <v>2001</v>
      </c>
      <c r="L54" s="395">
        <v>114.88200000000001</v>
      </c>
      <c r="M54" s="396">
        <v>0</v>
      </c>
      <c r="N54" s="397">
        <v>39448</v>
      </c>
      <c r="O54" s="398">
        <f t="shared" si="1"/>
        <v>574.41000000000008</v>
      </c>
      <c r="P54" s="391" t="s">
        <v>1084</v>
      </c>
      <c r="Q54" s="395">
        <v>79.445999999999998</v>
      </c>
      <c r="R54" s="399"/>
      <c r="S54" s="399"/>
      <c r="T54" s="879">
        <v>40072</v>
      </c>
      <c r="U54" s="397">
        <v>39813</v>
      </c>
      <c r="V54" s="399">
        <v>114.88200000000001</v>
      </c>
      <c r="W54" s="400">
        <f t="shared" si="2"/>
        <v>0.69154436726380109</v>
      </c>
      <c r="X54" s="545" t="s">
        <v>1658</v>
      </c>
      <c r="Y54" s="391" t="s">
        <v>1084</v>
      </c>
      <c r="Z54" s="391" t="s">
        <v>1659</v>
      </c>
      <c r="AA54" s="402">
        <v>40065</v>
      </c>
      <c r="AB54" s="402"/>
      <c r="AC54" s="401"/>
      <c r="AD54" s="401"/>
      <c r="AE54" s="401"/>
      <c r="AF54" s="401"/>
      <c r="AG54" s="390"/>
      <c r="AH54" s="390">
        <v>4.9400000000000004</v>
      </c>
      <c r="AI54" s="395">
        <f>24000/AH54</f>
        <v>4858.2995951416997</v>
      </c>
      <c r="AJ54" s="378"/>
      <c r="AK54" s="396"/>
      <c r="AL54" s="396"/>
      <c r="AM54" s="390"/>
      <c r="AN54" s="390"/>
      <c r="AO54" s="391"/>
      <c r="AP54" s="514"/>
      <c r="AQ54" s="782"/>
    </row>
    <row r="55" spans="1:48" s="474" customFormat="1" ht="13.15" customHeight="1">
      <c r="A55" s="51" t="s">
        <v>1656</v>
      </c>
      <c r="B55" s="59" t="s">
        <v>1644</v>
      </c>
      <c r="C55" s="391" t="s">
        <v>1663</v>
      </c>
      <c r="D55" s="392" t="s">
        <v>255</v>
      </c>
      <c r="E55" s="391" t="s">
        <v>1673</v>
      </c>
      <c r="F55" s="392">
        <v>1</v>
      </c>
      <c r="G55" s="392"/>
      <c r="H55" s="404" t="s">
        <v>968</v>
      </c>
      <c r="I55" s="394" t="s">
        <v>1488</v>
      </c>
      <c r="J55" s="391" t="s">
        <v>1709</v>
      </c>
      <c r="K55" s="490" t="s">
        <v>2001</v>
      </c>
      <c r="L55" s="390">
        <v>1.9810000000000001</v>
      </c>
      <c r="M55" s="396">
        <v>0</v>
      </c>
      <c r="N55" s="397">
        <v>39448</v>
      </c>
      <c r="O55" s="398">
        <f t="shared" si="1"/>
        <v>9.9050000000000011</v>
      </c>
      <c r="P55" s="391" t="s">
        <v>1084</v>
      </c>
      <c r="Q55" s="395">
        <v>1.236</v>
      </c>
      <c r="R55" s="396"/>
      <c r="S55" s="396"/>
      <c r="T55" s="879">
        <v>40072</v>
      </c>
      <c r="U55" s="397">
        <v>39813</v>
      </c>
      <c r="V55" s="399">
        <v>1.9810000000000001</v>
      </c>
      <c r="W55" s="400">
        <f t="shared" si="2"/>
        <v>0.62392730943967689</v>
      </c>
      <c r="X55" s="404" t="s">
        <v>1658</v>
      </c>
      <c r="Y55" s="391" t="s">
        <v>1084</v>
      </c>
      <c r="Z55" s="391" t="s">
        <v>1659</v>
      </c>
      <c r="AA55" s="402">
        <v>40065</v>
      </c>
      <c r="AB55" s="402"/>
      <c r="AC55" s="401"/>
      <c r="AD55" s="401"/>
      <c r="AE55" s="401"/>
      <c r="AF55" s="401"/>
      <c r="AG55" s="396"/>
      <c r="AH55" s="396">
        <v>0.14199999999999999</v>
      </c>
      <c r="AI55" s="399">
        <f>410/AH55</f>
        <v>2887.323943661972</v>
      </c>
      <c r="AJ55" s="379"/>
      <c r="AK55" s="396"/>
      <c r="AL55" s="396"/>
      <c r="AM55" s="396"/>
      <c r="AN55" s="396"/>
      <c r="AO55" s="391"/>
      <c r="AP55" s="514"/>
      <c r="AQ55" s="51"/>
      <c r="AR55" s="820"/>
      <c r="AS55" s="820"/>
      <c r="AT55" s="820"/>
      <c r="AU55" s="820"/>
      <c r="AV55" s="464"/>
    </row>
    <row r="56" spans="1:48" s="474" customFormat="1" ht="13.15" customHeight="1">
      <c r="A56" s="51" t="s">
        <v>1657</v>
      </c>
      <c r="B56" s="59" t="s">
        <v>1645</v>
      </c>
      <c r="C56" s="391" t="s">
        <v>1664</v>
      </c>
      <c r="D56" s="392" t="s">
        <v>255</v>
      </c>
      <c r="E56" s="391" t="s">
        <v>1674</v>
      </c>
      <c r="F56" s="392">
        <v>1</v>
      </c>
      <c r="G56" s="392"/>
      <c r="H56" s="393" t="s">
        <v>968</v>
      </c>
      <c r="I56" s="394" t="s">
        <v>1488</v>
      </c>
      <c r="J56" s="391" t="s">
        <v>1709</v>
      </c>
      <c r="K56" s="490" t="s">
        <v>2001</v>
      </c>
      <c r="L56" s="395">
        <v>27.37</v>
      </c>
      <c r="M56" s="396">
        <v>0</v>
      </c>
      <c r="N56" s="397">
        <v>39448</v>
      </c>
      <c r="O56" s="398">
        <f t="shared" si="1"/>
        <v>136.85</v>
      </c>
      <c r="P56" s="391" t="s">
        <v>1084</v>
      </c>
      <c r="Q56" s="395">
        <v>16.300999999999998</v>
      </c>
      <c r="R56" s="399"/>
      <c r="S56" s="399"/>
      <c r="T56" s="879">
        <v>40072</v>
      </c>
      <c r="U56" s="397">
        <v>39813</v>
      </c>
      <c r="V56" s="399">
        <v>27.37</v>
      </c>
      <c r="W56" s="400">
        <f t="shared" si="2"/>
        <v>0.59557910120569957</v>
      </c>
      <c r="X56" s="545" t="s">
        <v>1658</v>
      </c>
      <c r="Y56" s="391" t="s">
        <v>1084</v>
      </c>
      <c r="Z56" s="391" t="s">
        <v>1659</v>
      </c>
      <c r="AA56" s="402">
        <v>40065</v>
      </c>
      <c r="AB56" s="402"/>
      <c r="AC56" s="401"/>
      <c r="AD56" s="401"/>
      <c r="AE56" s="401"/>
      <c r="AF56" s="401"/>
      <c r="AG56" s="396"/>
      <c r="AH56" s="396">
        <v>0.91200000000000003</v>
      </c>
      <c r="AI56" s="399">
        <f>5600/AH56</f>
        <v>6140.3508771929819</v>
      </c>
      <c r="AJ56" s="379"/>
      <c r="AK56" s="396"/>
      <c r="AL56" s="396"/>
      <c r="AM56" s="396"/>
      <c r="AN56" s="396"/>
      <c r="AO56" s="391"/>
      <c r="AP56" s="514"/>
      <c r="AQ56" s="51"/>
    </row>
    <row r="57" spans="1:48" s="474" customFormat="1" ht="13.15" customHeight="1">
      <c r="A57" s="51" t="s">
        <v>46</v>
      </c>
      <c r="B57" s="446" t="s">
        <v>1121</v>
      </c>
      <c r="C57" s="391" t="s">
        <v>1119</v>
      </c>
      <c r="D57" s="392" t="s">
        <v>255</v>
      </c>
      <c r="E57" s="405" t="s">
        <v>1627</v>
      </c>
      <c r="F57" s="392">
        <v>1</v>
      </c>
      <c r="G57" s="392"/>
      <c r="H57" s="393" t="s">
        <v>968</v>
      </c>
      <c r="I57" s="394" t="s">
        <v>971</v>
      </c>
      <c r="J57" s="391" t="s">
        <v>1321</v>
      </c>
      <c r="K57" s="490" t="s">
        <v>2001</v>
      </c>
      <c r="L57" s="395">
        <v>39.466000000000001</v>
      </c>
      <c r="M57" s="396">
        <v>0</v>
      </c>
      <c r="N57" s="397">
        <v>39448</v>
      </c>
      <c r="O57" s="398">
        <f t="shared" si="1"/>
        <v>197.33</v>
      </c>
      <c r="P57" s="391" t="s">
        <v>1731</v>
      </c>
      <c r="Q57" s="395"/>
      <c r="R57" s="399"/>
      <c r="S57" s="399"/>
      <c r="T57" s="879"/>
      <c r="U57" s="397"/>
      <c r="V57" s="399"/>
      <c r="W57" s="400"/>
      <c r="X57" s="545"/>
      <c r="Y57" s="391" t="s">
        <v>504</v>
      </c>
      <c r="Z57" s="391" t="s">
        <v>288</v>
      </c>
      <c r="AA57" s="1062">
        <v>40150</v>
      </c>
      <c r="AB57" s="402"/>
      <c r="AC57" s="401"/>
      <c r="AD57" s="401"/>
      <c r="AE57" s="401"/>
      <c r="AF57" s="401"/>
      <c r="AG57" s="396"/>
      <c r="AH57" s="396">
        <f>(110+145+212+362+290+320+250+250+250+250+170+856+2210+640)/1000</f>
        <v>6.3150000000000004</v>
      </c>
      <c r="AI57" s="1080"/>
      <c r="AJ57" s="1084"/>
      <c r="AK57" s="1084"/>
      <c r="AL57" s="399"/>
      <c r="AM57" s="396"/>
      <c r="AN57" s="396"/>
      <c r="AO57" s="391" t="s">
        <v>59</v>
      </c>
      <c r="AP57" s="514"/>
      <c r="AQ57" s="51"/>
    </row>
    <row r="58" spans="1:48" s="474" customFormat="1" ht="13.15" customHeight="1">
      <c r="A58" s="51" t="s">
        <v>47</v>
      </c>
      <c r="B58" s="63" t="s">
        <v>1118</v>
      </c>
      <c r="C58" s="405" t="s">
        <v>1122</v>
      </c>
      <c r="D58" s="392" t="s">
        <v>255</v>
      </c>
      <c r="E58" s="405" t="s">
        <v>1123</v>
      </c>
      <c r="F58" s="392">
        <v>1</v>
      </c>
      <c r="G58" s="392"/>
      <c r="H58" s="393" t="s">
        <v>968</v>
      </c>
      <c r="I58" s="394" t="s">
        <v>1467</v>
      </c>
      <c r="J58" s="392" t="s">
        <v>1136</v>
      </c>
      <c r="K58" s="490" t="s">
        <v>2001</v>
      </c>
      <c r="L58" s="395">
        <v>20.283999999999999</v>
      </c>
      <c r="M58" s="396">
        <v>0</v>
      </c>
      <c r="N58" s="397">
        <v>39448</v>
      </c>
      <c r="O58" s="398">
        <f t="shared" si="1"/>
        <v>101.41999999999999</v>
      </c>
      <c r="P58" s="391" t="s">
        <v>1731</v>
      </c>
      <c r="Q58" s="395"/>
      <c r="R58" s="399"/>
      <c r="S58" s="399"/>
      <c r="T58" s="879"/>
      <c r="U58" s="397"/>
      <c r="V58" s="399"/>
      <c r="W58" s="400"/>
      <c r="X58" s="545"/>
      <c r="Y58" s="391" t="s">
        <v>731</v>
      </c>
      <c r="Z58" s="391" t="s">
        <v>58</v>
      </c>
      <c r="AA58" s="1062">
        <v>40150</v>
      </c>
      <c r="AB58" s="402"/>
      <c r="AC58" s="401"/>
      <c r="AD58" s="401"/>
      <c r="AE58" s="401"/>
      <c r="AF58" s="401"/>
      <c r="AG58" s="390"/>
      <c r="AH58" s="390">
        <v>0</v>
      </c>
      <c r="AI58" s="395"/>
      <c r="AJ58" s="390"/>
      <c r="AK58" s="390"/>
      <c r="AL58" s="395"/>
      <c r="AM58" s="390"/>
      <c r="AN58" s="390"/>
      <c r="AO58" s="391" t="s">
        <v>57</v>
      </c>
      <c r="AP58" s="514"/>
      <c r="AQ58" s="51"/>
    </row>
    <row r="59" spans="1:48" s="62" customFormat="1" ht="13.15" customHeight="1">
      <c r="A59" s="51" t="s">
        <v>54</v>
      </c>
      <c r="B59" s="246" t="s">
        <v>197</v>
      </c>
      <c r="C59" s="391" t="s">
        <v>1120</v>
      </c>
      <c r="D59" s="973" t="s">
        <v>255</v>
      </c>
      <c r="E59" s="975" t="s">
        <v>1124</v>
      </c>
      <c r="F59" s="392">
        <v>1</v>
      </c>
      <c r="G59" s="392"/>
      <c r="H59" s="393" t="s">
        <v>968</v>
      </c>
      <c r="I59" s="394" t="s">
        <v>971</v>
      </c>
      <c r="J59" s="392" t="s">
        <v>1321</v>
      </c>
      <c r="K59" s="490" t="s">
        <v>2001</v>
      </c>
      <c r="L59" s="390">
        <v>3.7</v>
      </c>
      <c r="M59" s="396">
        <v>0</v>
      </c>
      <c r="N59" s="397">
        <v>39448</v>
      </c>
      <c r="O59" s="398">
        <v>18.5</v>
      </c>
      <c r="P59" s="391" t="s">
        <v>1731</v>
      </c>
      <c r="Q59" s="395"/>
      <c r="R59" s="399"/>
      <c r="S59" s="399"/>
      <c r="T59" s="879"/>
      <c r="U59" s="397"/>
      <c r="V59" s="399"/>
      <c r="W59" s="400"/>
      <c r="X59" s="545"/>
      <c r="Y59" s="391" t="s">
        <v>504</v>
      </c>
      <c r="Z59" s="391" t="s">
        <v>288</v>
      </c>
      <c r="AA59" s="1062">
        <v>40150</v>
      </c>
      <c r="AB59" s="402"/>
      <c r="AC59" s="401"/>
      <c r="AD59" s="401"/>
      <c r="AE59" s="401"/>
      <c r="AF59" s="401"/>
      <c r="AG59" s="396"/>
      <c r="AH59" s="396">
        <v>0.6</v>
      </c>
      <c r="AI59" s="399"/>
      <c r="AJ59" s="396"/>
      <c r="AK59" s="396"/>
      <c r="AL59" s="399"/>
      <c r="AM59" s="396"/>
      <c r="AN59" s="396"/>
      <c r="AO59" s="391" t="s">
        <v>1112</v>
      </c>
      <c r="AP59" s="514"/>
      <c r="AQ59" s="51"/>
    </row>
    <row r="60" spans="1:48" s="62" customFormat="1" ht="13.15" customHeight="1">
      <c r="A60" s="51" t="s">
        <v>1422</v>
      </c>
      <c r="B60" s="446" t="s">
        <v>793</v>
      </c>
      <c r="C60" s="391" t="s">
        <v>1445</v>
      </c>
      <c r="D60" s="392" t="s">
        <v>255</v>
      </c>
      <c r="E60" s="391"/>
      <c r="F60" s="392">
        <v>1</v>
      </c>
      <c r="G60" s="392"/>
      <c r="H60" s="393" t="s">
        <v>968</v>
      </c>
      <c r="I60" s="394" t="s">
        <v>1488</v>
      </c>
      <c r="J60" s="392" t="s">
        <v>1288</v>
      </c>
      <c r="K60" s="490" t="s">
        <v>2001</v>
      </c>
      <c r="L60" s="390">
        <v>6.3360000000000003</v>
      </c>
      <c r="M60" s="396">
        <v>0</v>
      </c>
      <c r="N60" s="397">
        <v>39448</v>
      </c>
      <c r="O60" s="398">
        <f t="shared" ref="O60:O88" si="3">L60*5</f>
        <v>31.68</v>
      </c>
      <c r="P60" s="391" t="s">
        <v>1084</v>
      </c>
      <c r="Q60" s="395">
        <f>6.336+13.347</f>
        <v>19.683</v>
      </c>
      <c r="R60" s="396"/>
      <c r="S60" s="396"/>
      <c r="T60" s="879">
        <v>40197</v>
      </c>
      <c r="U60" s="397">
        <v>40178</v>
      </c>
      <c r="V60" s="399">
        <v>12.672000000000001</v>
      </c>
      <c r="W60" s="400">
        <f t="shared" ref="W60:W103" si="4">Q60/V60</f>
        <v>1.5532670454545454</v>
      </c>
      <c r="X60" s="545" t="s">
        <v>1658</v>
      </c>
      <c r="Y60" s="391" t="s">
        <v>1084</v>
      </c>
      <c r="Z60" s="405" t="s">
        <v>1084</v>
      </c>
      <c r="AA60" s="1062">
        <v>40196</v>
      </c>
      <c r="AB60" s="402"/>
      <c r="AC60" s="401"/>
      <c r="AD60" s="401"/>
      <c r="AE60" s="401"/>
      <c r="AF60" s="401"/>
      <c r="AG60" s="396"/>
      <c r="AH60" s="396">
        <v>0.56999999999999995</v>
      </c>
      <c r="AI60" s="399">
        <f>1740/AH60</f>
        <v>3052.6315789473688</v>
      </c>
      <c r="AJ60" s="885"/>
      <c r="AK60" s="396"/>
      <c r="AL60" s="399"/>
      <c r="AM60" s="396"/>
      <c r="AN60" s="396"/>
      <c r="AO60" s="391"/>
      <c r="AP60" s="514"/>
      <c r="AQ60" s="51"/>
      <c r="AR60" s="474"/>
      <c r="AS60" s="474"/>
      <c r="AT60" s="474"/>
      <c r="AU60" s="474"/>
      <c r="AV60" s="474"/>
    </row>
    <row r="61" spans="1:48" s="62" customFormat="1" ht="13.15" customHeight="1">
      <c r="A61" s="51" t="s">
        <v>1423</v>
      </c>
      <c r="B61" s="246" t="s">
        <v>794</v>
      </c>
      <c r="C61" s="391" t="s">
        <v>1446</v>
      </c>
      <c r="D61" s="392" t="s">
        <v>255</v>
      </c>
      <c r="E61" s="391" t="s">
        <v>1698</v>
      </c>
      <c r="F61" s="392">
        <v>1</v>
      </c>
      <c r="G61" s="392"/>
      <c r="H61" s="393" t="s">
        <v>968</v>
      </c>
      <c r="I61" s="394" t="s">
        <v>1488</v>
      </c>
      <c r="J61" s="391" t="s">
        <v>1288</v>
      </c>
      <c r="K61" s="490" t="s">
        <v>2001</v>
      </c>
      <c r="L61" s="390">
        <v>2.6280000000000001</v>
      </c>
      <c r="M61" s="396">
        <v>0</v>
      </c>
      <c r="N61" s="397">
        <v>39448</v>
      </c>
      <c r="O61" s="398">
        <f t="shared" si="3"/>
        <v>13.14</v>
      </c>
      <c r="P61" s="391" t="s">
        <v>1084</v>
      </c>
      <c r="Q61" s="395">
        <v>2.6280000000000001</v>
      </c>
      <c r="R61" s="396"/>
      <c r="S61" s="396"/>
      <c r="T61" s="879">
        <v>40197</v>
      </c>
      <c r="U61" s="397">
        <v>39813</v>
      </c>
      <c r="V61" s="399">
        <v>2.6280000000000001</v>
      </c>
      <c r="W61" s="400">
        <f t="shared" si="4"/>
        <v>1</v>
      </c>
      <c r="X61" s="545" t="s">
        <v>1658</v>
      </c>
      <c r="Y61" s="391" t="s">
        <v>1084</v>
      </c>
      <c r="Z61" s="405" t="s">
        <v>1084</v>
      </c>
      <c r="AA61" s="1062">
        <v>40196</v>
      </c>
      <c r="AB61" s="402"/>
      <c r="AC61" s="401"/>
      <c r="AD61" s="401"/>
      <c r="AE61" s="401"/>
      <c r="AF61" s="401"/>
      <c r="AG61" s="396"/>
      <c r="AH61" s="391">
        <v>0.19900000000000001</v>
      </c>
      <c r="AI61" s="399">
        <f>722/AH61</f>
        <v>3628.1407035175876</v>
      </c>
      <c r="AJ61" s="885"/>
      <c r="AK61" s="396"/>
      <c r="AL61" s="399"/>
      <c r="AM61" s="396"/>
      <c r="AN61" s="396"/>
      <c r="AO61" s="391"/>
      <c r="AP61" s="514"/>
      <c r="AQ61" s="51"/>
      <c r="AR61" s="474"/>
      <c r="AS61" s="474"/>
      <c r="AT61" s="474"/>
      <c r="AU61" s="474"/>
      <c r="AV61" s="474"/>
    </row>
    <row r="62" spans="1:48" s="62" customFormat="1" ht="13.15" customHeight="1">
      <c r="A62" s="51" t="s">
        <v>1424</v>
      </c>
      <c r="B62" s="246" t="s">
        <v>795</v>
      </c>
      <c r="C62" s="391" t="s">
        <v>1675</v>
      </c>
      <c r="D62" s="392" t="s">
        <v>255</v>
      </c>
      <c r="E62" s="391" t="s">
        <v>1673</v>
      </c>
      <c r="F62" s="392">
        <v>1</v>
      </c>
      <c r="G62" s="392"/>
      <c r="H62" s="393" t="s">
        <v>968</v>
      </c>
      <c r="I62" s="394" t="s">
        <v>1488</v>
      </c>
      <c r="J62" s="391" t="s">
        <v>1288</v>
      </c>
      <c r="K62" s="490" t="s">
        <v>2001</v>
      </c>
      <c r="L62" s="395">
        <v>10.317</v>
      </c>
      <c r="M62" s="396">
        <v>0</v>
      </c>
      <c r="N62" s="397">
        <v>39448</v>
      </c>
      <c r="O62" s="398">
        <f t="shared" si="3"/>
        <v>51.585000000000001</v>
      </c>
      <c r="P62" s="391" t="s">
        <v>1084</v>
      </c>
      <c r="Q62" s="395">
        <v>10.317</v>
      </c>
      <c r="R62" s="399"/>
      <c r="S62" s="399"/>
      <c r="T62" s="879">
        <v>40197</v>
      </c>
      <c r="U62" s="397">
        <v>39813</v>
      </c>
      <c r="V62" s="399">
        <v>10.317</v>
      </c>
      <c r="W62" s="400">
        <f t="shared" si="4"/>
        <v>1</v>
      </c>
      <c r="X62" s="545" t="s">
        <v>1658</v>
      </c>
      <c r="Y62" s="391" t="s">
        <v>1084</v>
      </c>
      <c r="Z62" s="405" t="s">
        <v>1084</v>
      </c>
      <c r="AA62" s="1062">
        <v>40196</v>
      </c>
      <c r="AB62" s="402"/>
      <c r="AC62" s="401"/>
      <c r="AD62" s="401"/>
      <c r="AE62" s="401"/>
      <c r="AF62" s="401"/>
      <c r="AG62" s="396"/>
      <c r="AH62" s="396">
        <v>0.41399999999999998</v>
      </c>
      <c r="AI62" s="399">
        <f>2834/AH62</f>
        <v>6845.4106280193237</v>
      </c>
      <c r="AJ62" s="885"/>
      <c r="AK62" s="396"/>
      <c r="AL62" s="399"/>
      <c r="AM62" s="396"/>
      <c r="AN62" s="396"/>
      <c r="AO62" s="391"/>
      <c r="AP62" s="514"/>
      <c r="AQ62" s="51"/>
      <c r="AR62" s="474"/>
      <c r="AS62" s="474"/>
      <c r="AT62" s="474"/>
      <c r="AU62" s="474"/>
      <c r="AV62" s="474"/>
    </row>
    <row r="63" spans="1:48" s="474" customFormat="1" ht="13.15" customHeight="1">
      <c r="A63" s="51" t="s">
        <v>1425</v>
      </c>
      <c r="B63" s="246" t="s">
        <v>796</v>
      </c>
      <c r="C63" s="391" t="s">
        <v>1676</v>
      </c>
      <c r="D63" s="392" t="s">
        <v>255</v>
      </c>
      <c r="E63" s="391" t="s">
        <v>1701</v>
      </c>
      <c r="F63" s="392">
        <v>1</v>
      </c>
      <c r="G63" s="392"/>
      <c r="H63" s="404" t="s">
        <v>968</v>
      </c>
      <c r="I63" s="394" t="s">
        <v>1488</v>
      </c>
      <c r="J63" s="391" t="s">
        <v>1288</v>
      </c>
      <c r="K63" s="490" t="s">
        <v>2001</v>
      </c>
      <c r="L63" s="390">
        <v>2.9180000000000001</v>
      </c>
      <c r="M63" s="396">
        <v>0</v>
      </c>
      <c r="N63" s="397">
        <v>39448</v>
      </c>
      <c r="O63" s="398">
        <f t="shared" si="3"/>
        <v>14.59</v>
      </c>
      <c r="P63" s="391" t="s">
        <v>1084</v>
      </c>
      <c r="Q63" s="395">
        <v>2.9180000000000001</v>
      </c>
      <c r="R63" s="396"/>
      <c r="S63" s="396"/>
      <c r="T63" s="879">
        <v>40197</v>
      </c>
      <c r="U63" s="397">
        <v>39813</v>
      </c>
      <c r="V63" s="399">
        <v>2.9180000000000001</v>
      </c>
      <c r="W63" s="400">
        <f t="shared" si="4"/>
        <v>1</v>
      </c>
      <c r="X63" s="545" t="s">
        <v>1658</v>
      </c>
      <c r="Y63" s="391" t="s">
        <v>1084</v>
      </c>
      <c r="Z63" s="405" t="s">
        <v>1084</v>
      </c>
      <c r="AA63" s="1062">
        <v>40196</v>
      </c>
      <c r="AB63" s="402"/>
      <c r="AC63" s="401"/>
      <c r="AD63" s="401"/>
      <c r="AE63" s="401"/>
      <c r="AF63" s="401"/>
      <c r="AG63" s="396"/>
      <c r="AH63" s="396">
        <v>0.13</v>
      </c>
      <c r="AI63" s="399">
        <f>802/AH63</f>
        <v>6169.2307692307686</v>
      </c>
      <c r="AJ63" s="885"/>
      <c r="AK63" s="396"/>
      <c r="AL63" s="399"/>
      <c r="AM63" s="396"/>
      <c r="AN63" s="396"/>
      <c r="AO63" s="391"/>
      <c r="AP63" s="514"/>
      <c r="AQ63" s="782"/>
    </row>
    <row r="64" spans="1:48" s="474" customFormat="1" ht="13.15" customHeight="1">
      <c r="A64" s="51" t="s">
        <v>1426</v>
      </c>
      <c r="B64" s="246" t="s">
        <v>797</v>
      </c>
      <c r="C64" s="391" t="s">
        <v>1677</v>
      </c>
      <c r="D64" s="392" t="s">
        <v>255</v>
      </c>
      <c r="E64" s="391" t="s">
        <v>1702</v>
      </c>
      <c r="F64" s="392">
        <v>1</v>
      </c>
      <c r="G64" s="392"/>
      <c r="H64" s="393" t="s">
        <v>968</v>
      </c>
      <c r="I64" s="394" t="s">
        <v>1488</v>
      </c>
      <c r="J64" s="391" t="s">
        <v>1288</v>
      </c>
      <c r="K64" s="490" t="s">
        <v>2001</v>
      </c>
      <c r="L64" s="390">
        <v>8.94</v>
      </c>
      <c r="M64" s="396">
        <v>0</v>
      </c>
      <c r="N64" s="397">
        <v>39448</v>
      </c>
      <c r="O64" s="398">
        <f t="shared" si="3"/>
        <v>44.699999999999996</v>
      </c>
      <c r="P64" s="391" t="s">
        <v>1084</v>
      </c>
      <c r="Q64" s="395">
        <f>8.94</f>
        <v>8.94</v>
      </c>
      <c r="R64" s="396"/>
      <c r="S64" s="396"/>
      <c r="T64" s="879">
        <v>40197</v>
      </c>
      <c r="U64" s="397">
        <v>39813</v>
      </c>
      <c r="V64" s="399">
        <v>8.94</v>
      </c>
      <c r="W64" s="400">
        <f t="shared" si="4"/>
        <v>1</v>
      </c>
      <c r="X64" s="404" t="s">
        <v>1658</v>
      </c>
      <c r="Y64" s="391" t="s">
        <v>1084</v>
      </c>
      <c r="Z64" s="405" t="s">
        <v>1084</v>
      </c>
      <c r="AA64" s="1062">
        <v>40196</v>
      </c>
      <c r="AB64" s="402"/>
      <c r="AC64" s="401"/>
      <c r="AD64" s="401"/>
      <c r="AE64" s="401"/>
      <c r="AF64" s="401"/>
      <c r="AG64" s="396"/>
      <c r="AH64" s="396">
        <v>0.308</v>
      </c>
      <c r="AI64" s="399">
        <f>2456/AH64</f>
        <v>7974.0259740259744</v>
      </c>
      <c r="AJ64" s="885"/>
      <c r="AK64" s="396"/>
      <c r="AL64" s="399"/>
      <c r="AM64" s="396"/>
      <c r="AN64" s="396"/>
      <c r="AO64" s="391"/>
      <c r="AP64" s="514"/>
      <c r="AQ64" s="781"/>
    </row>
    <row r="65" spans="1:48" s="474" customFormat="1" ht="13.15" customHeight="1">
      <c r="A65" s="51" t="s">
        <v>1427</v>
      </c>
      <c r="B65" s="246" t="s">
        <v>798</v>
      </c>
      <c r="C65" s="391" t="s">
        <v>1678</v>
      </c>
      <c r="D65" s="392" t="s">
        <v>255</v>
      </c>
      <c r="E65" s="391" t="s">
        <v>1669</v>
      </c>
      <c r="F65" s="392">
        <v>1</v>
      </c>
      <c r="G65" s="392"/>
      <c r="H65" s="393" t="s">
        <v>968</v>
      </c>
      <c r="I65" s="394" t="s">
        <v>1488</v>
      </c>
      <c r="J65" s="391" t="s">
        <v>1288</v>
      </c>
      <c r="K65" s="490" t="s">
        <v>2001</v>
      </c>
      <c r="L65" s="390">
        <v>1.7629999999999999</v>
      </c>
      <c r="M65" s="396">
        <v>0</v>
      </c>
      <c r="N65" s="397">
        <v>39448</v>
      </c>
      <c r="O65" s="398">
        <f t="shared" si="3"/>
        <v>8.8149999999999995</v>
      </c>
      <c r="P65" s="391" t="s">
        <v>1084</v>
      </c>
      <c r="Q65" s="395">
        <f>6.416+7.43</f>
        <v>13.846</v>
      </c>
      <c r="R65" s="396"/>
      <c r="S65" s="396"/>
      <c r="T65" s="879">
        <v>40197</v>
      </c>
      <c r="U65" s="397">
        <v>40178</v>
      </c>
      <c r="V65" s="399">
        <v>3.5259999999999998</v>
      </c>
      <c r="W65" s="400">
        <f t="shared" si="4"/>
        <v>3.9268292682926833</v>
      </c>
      <c r="X65" s="545" t="s">
        <v>1658</v>
      </c>
      <c r="Y65" s="391" t="s">
        <v>1084</v>
      </c>
      <c r="Z65" s="405" t="s">
        <v>1084</v>
      </c>
      <c r="AA65" s="1062">
        <v>40196</v>
      </c>
      <c r="AB65" s="402"/>
      <c r="AC65" s="401"/>
      <c r="AD65" s="401"/>
      <c r="AE65" s="401"/>
      <c r="AF65" s="401"/>
      <c r="AG65" s="396"/>
      <c r="AH65" s="379"/>
      <c r="AI65" s="399"/>
      <c r="AJ65" s="885"/>
      <c r="AK65" s="396"/>
      <c r="AL65" s="399"/>
      <c r="AM65" s="396"/>
      <c r="AN65" s="396"/>
      <c r="AO65" s="391"/>
      <c r="AP65" s="514"/>
      <c r="AQ65" s="51"/>
    </row>
    <row r="66" spans="1:48" s="474" customFormat="1" ht="13.15" customHeight="1">
      <c r="A66" s="51" t="s">
        <v>1428</v>
      </c>
      <c r="B66" s="246" t="s">
        <v>799</v>
      </c>
      <c r="C66" s="391" t="s">
        <v>1679</v>
      </c>
      <c r="D66" s="392" t="s">
        <v>255</v>
      </c>
      <c r="E66" s="391" t="s">
        <v>1670</v>
      </c>
      <c r="F66" s="392">
        <v>1</v>
      </c>
      <c r="G66" s="392"/>
      <c r="H66" s="393" t="s">
        <v>968</v>
      </c>
      <c r="I66" s="394" t="s">
        <v>1488</v>
      </c>
      <c r="J66" s="391" t="s">
        <v>1288</v>
      </c>
      <c r="K66" s="490" t="s">
        <v>2001</v>
      </c>
      <c r="L66" s="395">
        <v>23.803000000000001</v>
      </c>
      <c r="M66" s="396">
        <v>0</v>
      </c>
      <c r="N66" s="397">
        <v>39448</v>
      </c>
      <c r="O66" s="398">
        <f t="shared" si="3"/>
        <v>119.015</v>
      </c>
      <c r="P66" s="391" t="s">
        <v>1084</v>
      </c>
      <c r="Q66" s="395">
        <f>23.803+24.974</f>
        <v>48.777000000000001</v>
      </c>
      <c r="R66" s="399"/>
      <c r="S66" s="399"/>
      <c r="T66" s="879">
        <v>40197</v>
      </c>
      <c r="U66" s="397">
        <v>40178</v>
      </c>
      <c r="V66" s="399">
        <v>47.606000000000002</v>
      </c>
      <c r="W66" s="400">
        <f t="shared" si="4"/>
        <v>1.0245977397806998</v>
      </c>
      <c r="X66" s="545" t="s">
        <v>1658</v>
      </c>
      <c r="Y66" s="391" t="s">
        <v>1084</v>
      </c>
      <c r="Z66" s="405" t="s">
        <v>1084</v>
      </c>
      <c r="AA66" s="1062">
        <v>40196</v>
      </c>
      <c r="AB66" s="402"/>
      <c r="AC66" s="401"/>
      <c r="AD66" s="401"/>
      <c r="AE66" s="401"/>
      <c r="AF66" s="401"/>
      <c r="AG66" s="396"/>
      <c r="AH66" s="396">
        <v>0.56000000000000005</v>
      </c>
      <c r="AI66" s="399">
        <f>6539/AH66</f>
        <v>11676.785714285714</v>
      </c>
      <c r="AJ66" s="885"/>
      <c r="AK66" s="396"/>
      <c r="AL66" s="399"/>
      <c r="AM66" s="396"/>
      <c r="AN66" s="396"/>
      <c r="AO66" s="391"/>
      <c r="AP66" s="514"/>
      <c r="AQ66" s="51"/>
    </row>
    <row r="67" spans="1:48" s="474" customFormat="1" ht="13.15" customHeight="1">
      <c r="A67" s="51" t="s">
        <v>1429</v>
      </c>
      <c r="B67" s="246" t="s">
        <v>800</v>
      </c>
      <c r="C67" s="391" t="s">
        <v>1680</v>
      </c>
      <c r="D67" s="392" t="s">
        <v>255</v>
      </c>
      <c r="E67" s="391"/>
      <c r="F67" s="392">
        <v>1</v>
      </c>
      <c r="G67" s="392"/>
      <c r="H67" s="393" t="s">
        <v>968</v>
      </c>
      <c r="I67" s="394" t="s">
        <v>1488</v>
      </c>
      <c r="J67" s="391" t="s">
        <v>1288</v>
      </c>
      <c r="K67" s="490" t="s">
        <v>2001</v>
      </c>
      <c r="L67" s="390">
        <v>5.335</v>
      </c>
      <c r="M67" s="396">
        <v>0</v>
      </c>
      <c r="N67" s="397">
        <v>39448</v>
      </c>
      <c r="O67" s="908">
        <f t="shared" si="3"/>
        <v>26.675000000000001</v>
      </c>
      <c r="P67" s="391" t="s">
        <v>1084</v>
      </c>
      <c r="Q67" s="395">
        <f>5.335+3.606</f>
        <v>8.9409999999999989</v>
      </c>
      <c r="R67" s="396"/>
      <c r="S67" s="396"/>
      <c r="T67" s="879">
        <v>40197</v>
      </c>
      <c r="U67" s="397">
        <v>40178</v>
      </c>
      <c r="V67" s="399">
        <v>10.67</v>
      </c>
      <c r="W67" s="400">
        <f t="shared" si="4"/>
        <v>0.83795688847235228</v>
      </c>
      <c r="X67" s="545" t="s">
        <v>1658</v>
      </c>
      <c r="Y67" s="391" t="s">
        <v>1084</v>
      </c>
      <c r="Z67" s="405" t="s">
        <v>1084</v>
      </c>
      <c r="AA67" s="1062">
        <v>40196</v>
      </c>
      <c r="AB67" s="402"/>
      <c r="AC67" s="401"/>
      <c r="AD67" s="401"/>
      <c r="AE67" s="401"/>
      <c r="AF67" s="401"/>
      <c r="AG67" s="396"/>
      <c r="AH67" s="396">
        <v>0.308</v>
      </c>
      <c r="AI67" s="399">
        <f>1466/AH67</f>
        <v>4759.7402597402597</v>
      </c>
      <c r="AJ67" s="885"/>
      <c r="AK67" s="396"/>
      <c r="AL67" s="399"/>
      <c r="AM67" s="396"/>
      <c r="AN67" s="396"/>
      <c r="AO67" s="391"/>
      <c r="AP67" s="514"/>
      <c r="AQ67" s="51"/>
    </row>
    <row r="68" spans="1:48" s="474" customFormat="1" ht="13.15" customHeight="1">
      <c r="A68" s="51" t="s">
        <v>1430</v>
      </c>
      <c r="B68" s="446" t="s">
        <v>801</v>
      </c>
      <c r="C68" s="391" t="s">
        <v>1681</v>
      </c>
      <c r="D68" s="392" t="s">
        <v>255</v>
      </c>
      <c r="E68" s="391"/>
      <c r="F68" s="392">
        <v>1</v>
      </c>
      <c r="G68" s="392"/>
      <c r="H68" s="393" t="s">
        <v>968</v>
      </c>
      <c r="I68" s="394" t="s">
        <v>1488</v>
      </c>
      <c r="J68" s="391" t="s">
        <v>1288</v>
      </c>
      <c r="K68" s="490" t="s">
        <v>2001</v>
      </c>
      <c r="L68" s="390">
        <v>2.7280000000000002</v>
      </c>
      <c r="M68" s="396">
        <v>0</v>
      </c>
      <c r="N68" s="397">
        <v>39448</v>
      </c>
      <c r="O68" s="398">
        <f t="shared" si="3"/>
        <v>13.64</v>
      </c>
      <c r="P68" s="391" t="s">
        <v>1084</v>
      </c>
      <c r="Q68" s="395">
        <f>2.728+2.973</f>
        <v>5.7010000000000005</v>
      </c>
      <c r="R68" s="396"/>
      <c r="S68" s="396"/>
      <c r="T68" s="879">
        <v>40197</v>
      </c>
      <c r="U68" s="397">
        <v>40178</v>
      </c>
      <c r="V68" s="399">
        <v>5.4560000000000004</v>
      </c>
      <c r="W68" s="400">
        <f t="shared" si="4"/>
        <v>1.0449046920821115</v>
      </c>
      <c r="X68" s="545" t="s">
        <v>1658</v>
      </c>
      <c r="Y68" s="391" t="s">
        <v>1084</v>
      </c>
      <c r="Z68" s="405" t="s">
        <v>1084</v>
      </c>
      <c r="AA68" s="1062">
        <v>40196</v>
      </c>
      <c r="AB68" s="402"/>
      <c r="AC68" s="401"/>
      <c r="AD68" s="401"/>
      <c r="AE68" s="401"/>
      <c r="AF68" s="401"/>
      <c r="AG68" s="396"/>
      <c r="AH68" s="396">
        <v>0.13</v>
      </c>
      <c r="AI68" s="399">
        <f>749/AH68</f>
        <v>5761.538461538461</v>
      </c>
      <c r="AJ68" s="885"/>
      <c r="AK68" s="396"/>
      <c r="AL68" s="399"/>
      <c r="AM68" s="396"/>
      <c r="AN68" s="396"/>
      <c r="AO68" s="391"/>
      <c r="AP68" s="514"/>
      <c r="AQ68" s="51"/>
    </row>
    <row r="69" spans="1:48" s="474" customFormat="1" ht="12.75" customHeight="1">
      <c r="A69" s="51" t="s">
        <v>1431</v>
      </c>
      <c r="B69" s="246" t="s">
        <v>802</v>
      </c>
      <c r="C69" s="391" t="s">
        <v>1682</v>
      </c>
      <c r="D69" s="392" t="s">
        <v>255</v>
      </c>
      <c r="E69" s="391" t="s">
        <v>1697</v>
      </c>
      <c r="F69" s="392">
        <v>1</v>
      </c>
      <c r="G69" s="392"/>
      <c r="H69" s="393" t="s">
        <v>968</v>
      </c>
      <c r="I69" s="394" t="s">
        <v>1488</v>
      </c>
      <c r="J69" s="392" t="s">
        <v>1288</v>
      </c>
      <c r="K69" s="490" t="s">
        <v>2001</v>
      </c>
      <c r="L69" s="390">
        <v>2.0350000000000001</v>
      </c>
      <c r="M69" s="396">
        <v>0</v>
      </c>
      <c r="N69" s="397">
        <v>39448</v>
      </c>
      <c r="O69" s="398">
        <f t="shared" si="3"/>
        <v>10.175000000000001</v>
      </c>
      <c r="P69" s="391" t="s">
        <v>1084</v>
      </c>
      <c r="Q69" s="395">
        <f>2.035+1.767</f>
        <v>3.802</v>
      </c>
      <c r="R69" s="396"/>
      <c r="S69" s="396"/>
      <c r="T69" s="879">
        <v>40197</v>
      </c>
      <c r="U69" s="397">
        <v>40178</v>
      </c>
      <c r="V69" s="399">
        <v>4.07</v>
      </c>
      <c r="W69" s="400">
        <f t="shared" si="4"/>
        <v>0.93415233415233412</v>
      </c>
      <c r="X69" s="545" t="s">
        <v>1658</v>
      </c>
      <c r="Y69" s="391" t="s">
        <v>1084</v>
      </c>
      <c r="Z69" s="405" t="s">
        <v>1084</v>
      </c>
      <c r="AA69" s="1062">
        <v>40196</v>
      </c>
      <c r="AB69" s="402"/>
      <c r="AC69" s="401"/>
      <c r="AD69" s="401"/>
      <c r="AE69" s="401"/>
      <c r="AF69" s="401"/>
      <c r="AG69" s="396"/>
      <c r="AH69" s="396">
        <v>0.3</v>
      </c>
      <c r="AI69" s="399">
        <f>559/AH69</f>
        <v>1863.3333333333335</v>
      </c>
      <c r="AJ69" s="885"/>
      <c r="AK69" s="396"/>
      <c r="AL69" s="399"/>
      <c r="AM69" s="396"/>
      <c r="AN69" s="396"/>
      <c r="AO69" s="391"/>
      <c r="AP69" s="514"/>
      <c r="AQ69" s="51"/>
    </row>
    <row r="70" spans="1:48" s="474" customFormat="1" ht="13.15" customHeight="1">
      <c r="A70" s="51" t="s">
        <v>1432</v>
      </c>
      <c r="B70" s="446" t="s">
        <v>803</v>
      </c>
      <c r="C70" s="391" t="s">
        <v>1683</v>
      </c>
      <c r="D70" s="973" t="s">
        <v>255</v>
      </c>
      <c r="E70" s="391" t="s">
        <v>1701</v>
      </c>
      <c r="F70" s="392">
        <v>1</v>
      </c>
      <c r="G70" s="392"/>
      <c r="H70" s="393" t="s">
        <v>968</v>
      </c>
      <c r="I70" s="1013" t="s">
        <v>1488</v>
      </c>
      <c r="J70" s="391" t="s">
        <v>1288</v>
      </c>
      <c r="K70" s="490" t="s">
        <v>2001</v>
      </c>
      <c r="L70" s="390">
        <v>1.7030000000000001</v>
      </c>
      <c r="M70" s="396">
        <v>0</v>
      </c>
      <c r="N70" s="397">
        <v>39448</v>
      </c>
      <c r="O70" s="398">
        <f t="shared" si="3"/>
        <v>8.5150000000000006</v>
      </c>
      <c r="P70" s="392" t="s">
        <v>1084</v>
      </c>
      <c r="Q70" s="395">
        <f>1.703+1.445</f>
        <v>3.1480000000000001</v>
      </c>
      <c r="R70" s="396"/>
      <c r="S70" s="396"/>
      <c r="T70" s="879">
        <v>40197</v>
      </c>
      <c r="U70" s="397">
        <v>40178</v>
      </c>
      <c r="V70" s="399">
        <v>3.4060000000000001</v>
      </c>
      <c r="W70" s="400">
        <f t="shared" si="4"/>
        <v>0.92425132119788611</v>
      </c>
      <c r="X70" s="545" t="s">
        <v>1658</v>
      </c>
      <c r="Y70" s="391" t="s">
        <v>1084</v>
      </c>
      <c r="Z70" s="405" t="s">
        <v>1084</v>
      </c>
      <c r="AA70" s="1062">
        <v>40196</v>
      </c>
      <c r="AB70" s="402"/>
      <c r="AC70" s="401"/>
      <c r="AD70" s="401"/>
      <c r="AE70" s="401"/>
      <c r="AF70" s="401"/>
      <c r="AG70" s="390"/>
      <c r="AH70" s="390">
        <v>0.13</v>
      </c>
      <c r="AI70" s="395">
        <f>468/AH70</f>
        <v>3600</v>
      </c>
      <c r="AJ70" s="913"/>
      <c r="AK70" s="390"/>
      <c r="AL70" s="395"/>
      <c r="AM70" s="390"/>
      <c r="AN70" s="390"/>
      <c r="AO70" s="391"/>
      <c r="AP70" s="514"/>
      <c r="AQ70" s="51"/>
    </row>
    <row r="71" spans="1:48" s="474" customFormat="1" ht="12.75" customHeight="1">
      <c r="A71" s="51" t="s">
        <v>1433</v>
      </c>
      <c r="B71" s="246" t="s">
        <v>804</v>
      </c>
      <c r="C71" s="391" t="s">
        <v>1447</v>
      </c>
      <c r="D71" s="392" t="s">
        <v>255</v>
      </c>
      <c r="E71" s="391"/>
      <c r="F71" s="392">
        <v>1</v>
      </c>
      <c r="G71" s="392"/>
      <c r="H71" s="393" t="s">
        <v>968</v>
      </c>
      <c r="I71" s="394" t="s">
        <v>1488</v>
      </c>
      <c r="J71" s="392" t="s">
        <v>1288</v>
      </c>
      <c r="K71" s="490" t="s">
        <v>2001</v>
      </c>
      <c r="L71" s="390">
        <v>2.6040000000000001</v>
      </c>
      <c r="M71" s="396">
        <v>0</v>
      </c>
      <c r="N71" s="397">
        <v>39448</v>
      </c>
      <c r="O71" s="398">
        <f t="shared" si="3"/>
        <v>13.02</v>
      </c>
      <c r="P71" s="391" t="s">
        <v>1084</v>
      </c>
      <c r="Q71" s="395">
        <f>0.857+1.575</f>
        <v>2.4319999999999999</v>
      </c>
      <c r="R71" s="396"/>
      <c r="S71" s="396"/>
      <c r="T71" s="879">
        <v>40197</v>
      </c>
      <c r="U71" s="397">
        <v>40178</v>
      </c>
      <c r="V71" s="399">
        <v>5.2080000000000002</v>
      </c>
      <c r="W71" s="400">
        <f t="shared" si="4"/>
        <v>0.466973886328725</v>
      </c>
      <c r="X71" s="545" t="s">
        <v>1658</v>
      </c>
      <c r="Y71" s="391" t="s">
        <v>1084</v>
      </c>
      <c r="Z71" s="405" t="s">
        <v>1084</v>
      </c>
      <c r="AA71" s="1062">
        <v>40196</v>
      </c>
      <c r="AB71" s="402"/>
      <c r="AC71" s="401"/>
      <c r="AD71" s="401"/>
      <c r="AE71" s="401"/>
      <c r="AF71" s="401"/>
      <c r="AG71" s="396"/>
      <c r="AH71" s="396">
        <v>0.2</v>
      </c>
      <c r="AI71" s="399">
        <f>235/AH71</f>
        <v>1175</v>
      </c>
      <c r="AJ71" s="885"/>
      <c r="AK71" s="396"/>
      <c r="AL71" s="399"/>
      <c r="AM71" s="396"/>
      <c r="AN71" s="396"/>
      <c r="AO71" s="391"/>
      <c r="AP71" s="514"/>
      <c r="AQ71" s="782"/>
    </row>
    <row r="72" spans="1:48" s="62" customFormat="1" ht="13.15" customHeight="1">
      <c r="A72" s="51" t="s">
        <v>1439</v>
      </c>
      <c r="B72" s="246" t="s">
        <v>806</v>
      </c>
      <c r="C72" s="391" t="s">
        <v>1449</v>
      </c>
      <c r="D72" s="392" t="s">
        <v>255</v>
      </c>
      <c r="E72" s="976" t="s">
        <v>1670</v>
      </c>
      <c r="F72" s="392">
        <v>1</v>
      </c>
      <c r="G72" s="392"/>
      <c r="H72" s="393" t="s">
        <v>968</v>
      </c>
      <c r="I72" s="394" t="s">
        <v>1488</v>
      </c>
      <c r="J72" s="391" t="s">
        <v>1709</v>
      </c>
      <c r="K72" s="490" t="s">
        <v>2001</v>
      </c>
      <c r="L72" s="390">
        <v>5.4950000000000001</v>
      </c>
      <c r="M72" s="396">
        <v>0</v>
      </c>
      <c r="N72" s="397">
        <v>39448</v>
      </c>
      <c r="O72" s="398">
        <f t="shared" si="3"/>
        <v>27.475000000000001</v>
      </c>
      <c r="P72" s="391" t="s">
        <v>1084</v>
      </c>
      <c r="Q72" s="395">
        <v>5.4950000000000001</v>
      </c>
      <c r="R72" s="396"/>
      <c r="S72" s="396"/>
      <c r="T72" s="879">
        <v>40204</v>
      </c>
      <c r="U72" s="397">
        <v>39813</v>
      </c>
      <c r="V72" s="399">
        <v>5.4950000000000001</v>
      </c>
      <c r="W72" s="400">
        <f t="shared" si="4"/>
        <v>1</v>
      </c>
      <c r="X72" s="545" t="s">
        <v>1658</v>
      </c>
      <c r="Y72" s="391" t="s">
        <v>1084</v>
      </c>
      <c r="Z72" s="405" t="s">
        <v>1084</v>
      </c>
      <c r="AA72" s="1062">
        <v>40196</v>
      </c>
      <c r="AB72" s="402"/>
      <c r="AC72" s="401"/>
      <c r="AD72" s="401"/>
      <c r="AE72" s="401"/>
      <c r="AF72" s="401"/>
      <c r="AG72" s="396"/>
      <c r="AH72" s="396">
        <v>0.31</v>
      </c>
      <c r="AI72" s="399">
        <f>1599/AH72</f>
        <v>5158.0645161290322</v>
      </c>
      <c r="AJ72" s="885"/>
      <c r="AK72" s="396"/>
      <c r="AL72" s="399"/>
      <c r="AM72" s="396"/>
      <c r="AN72" s="396"/>
      <c r="AO72" s="391"/>
      <c r="AP72" s="514"/>
      <c r="AQ72" s="51"/>
      <c r="AR72" s="474"/>
      <c r="AS72" s="474"/>
      <c r="AT72" s="474"/>
      <c r="AU72" s="474"/>
      <c r="AV72" s="474"/>
    </row>
    <row r="73" spans="1:48" s="474" customFormat="1" ht="12.75" customHeight="1">
      <c r="A73" s="51" t="s">
        <v>1440</v>
      </c>
      <c r="B73" s="246" t="s">
        <v>807</v>
      </c>
      <c r="C73" s="391" t="s">
        <v>1703</v>
      </c>
      <c r="D73" s="392" t="s">
        <v>255</v>
      </c>
      <c r="E73" s="391" t="s">
        <v>1184</v>
      </c>
      <c r="F73" s="392">
        <v>1</v>
      </c>
      <c r="G73" s="392"/>
      <c r="H73" s="393" t="s">
        <v>968</v>
      </c>
      <c r="I73" s="862" t="s">
        <v>1488</v>
      </c>
      <c r="J73" s="391" t="s">
        <v>1288</v>
      </c>
      <c r="K73" s="490" t="s">
        <v>2001</v>
      </c>
      <c r="L73" s="390">
        <v>4.4080000000000004</v>
      </c>
      <c r="M73" s="396">
        <v>0</v>
      </c>
      <c r="N73" s="397">
        <v>39448</v>
      </c>
      <c r="O73" s="398">
        <f t="shared" si="3"/>
        <v>22.040000000000003</v>
      </c>
      <c r="P73" s="391" t="s">
        <v>1084</v>
      </c>
      <c r="Q73" s="395">
        <v>4.4080000000000004</v>
      </c>
      <c r="R73" s="396"/>
      <c r="S73" s="396"/>
      <c r="T73" s="879">
        <v>40204</v>
      </c>
      <c r="U73" s="397">
        <v>39813</v>
      </c>
      <c r="V73" s="399">
        <v>4.4080000000000004</v>
      </c>
      <c r="W73" s="400">
        <f t="shared" si="4"/>
        <v>1</v>
      </c>
      <c r="X73" s="545" t="s">
        <v>1658</v>
      </c>
      <c r="Y73" s="391" t="s">
        <v>1084</v>
      </c>
      <c r="Z73" s="405" t="s">
        <v>1084</v>
      </c>
      <c r="AA73" s="1062">
        <v>40199</v>
      </c>
      <c r="AB73" s="402"/>
      <c r="AC73" s="401"/>
      <c r="AD73" s="401"/>
      <c r="AE73" s="401"/>
      <c r="AF73" s="401"/>
      <c r="AG73" s="396"/>
      <c r="AH73" s="396">
        <v>0.15</v>
      </c>
      <c r="AI73" s="399">
        <f>1185/AH73</f>
        <v>7900</v>
      </c>
      <c r="AJ73" s="885"/>
      <c r="AK73" s="396"/>
      <c r="AL73" s="399"/>
      <c r="AM73" s="396"/>
      <c r="AN73" s="396"/>
      <c r="AO73" s="391"/>
      <c r="AP73" s="514"/>
      <c r="AQ73" s="51"/>
    </row>
    <row r="74" spans="1:48" s="474" customFormat="1" ht="13.15" customHeight="1">
      <c r="A74" s="51" t="s">
        <v>1441</v>
      </c>
      <c r="B74" s="246" t="s">
        <v>808</v>
      </c>
      <c r="C74" s="391" t="s">
        <v>1684</v>
      </c>
      <c r="D74" s="392" t="s">
        <v>255</v>
      </c>
      <c r="E74" s="391" t="s">
        <v>1697</v>
      </c>
      <c r="F74" s="392">
        <v>1</v>
      </c>
      <c r="G74" s="392"/>
      <c r="H74" s="393" t="s">
        <v>968</v>
      </c>
      <c r="I74" s="862" t="s">
        <v>1488</v>
      </c>
      <c r="J74" s="391" t="s">
        <v>1288</v>
      </c>
      <c r="K74" s="490" t="s">
        <v>2001</v>
      </c>
      <c r="L74" s="395">
        <v>19.942</v>
      </c>
      <c r="M74" s="396">
        <v>0</v>
      </c>
      <c r="N74" s="397">
        <v>39448</v>
      </c>
      <c r="O74" s="398">
        <f t="shared" si="3"/>
        <v>99.710000000000008</v>
      </c>
      <c r="P74" s="391" t="s">
        <v>1084</v>
      </c>
      <c r="Q74" s="395">
        <v>19.942</v>
      </c>
      <c r="R74" s="399"/>
      <c r="S74" s="399"/>
      <c r="T74" s="879">
        <v>40204</v>
      </c>
      <c r="U74" s="397">
        <v>39813</v>
      </c>
      <c r="V74" s="399">
        <v>19.942</v>
      </c>
      <c r="W74" s="400">
        <f t="shared" si="4"/>
        <v>1</v>
      </c>
      <c r="X74" s="545" t="s">
        <v>1658</v>
      </c>
      <c r="Y74" s="391" t="s">
        <v>1084</v>
      </c>
      <c r="Z74" s="405" t="s">
        <v>1084</v>
      </c>
      <c r="AA74" s="1062">
        <v>40199</v>
      </c>
      <c r="AB74" s="402"/>
      <c r="AC74" s="401"/>
      <c r="AD74" s="401"/>
      <c r="AE74" s="401"/>
      <c r="AF74" s="401"/>
      <c r="AG74" s="396"/>
      <c r="AH74" s="396">
        <v>1.099</v>
      </c>
      <c r="AI74" s="399">
        <f>5575/AH74</f>
        <v>5072.7934485896267</v>
      </c>
      <c r="AJ74" s="885"/>
      <c r="AK74" s="396"/>
      <c r="AL74" s="399"/>
      <c r="AM74" s="396"/>
      <c r="AN74" s="396"/>
      <c r="AO74" s="391"/>
      <c r="AP74" s="514"/>
      <c r="AQ74" s="51"/>
      <c r="AR74" s="820"/>
      <c r="AS74" s="820"/>
      <c r="AT74" s="820"/>
      <c r="AU74" s="820"/>
      <c r="AV74" s="464"/>
    </row>
    <row r="75" spans="1:48" s="474" customFormat="1" ht="13.15" customHeight="1">
      <c r="A75" s="51" t="s">
        <v>1450</v>
      </c>
      <c r="B75" s="246" t="s">
        <v>809</v>
      </c>
      <c r="C75" s="391" t="s">
        <v>1685</v>
      </c>
      <c r="D75" s="392" t="s">
        <v>255</v>
      </c>
      <c r="E75" s="391" t="s">
        <v>1674</v>
      </c>
      <c r="F75" s="392">
        <v>1</v>
      </c>
      <c r="G75" s="392"/>
      <c r="H75" s="393" t="s">
        <v>968</v>
      </c>
      <c r="I75" s="862" t="s">
        <v>1488</v>
      </c>
      <c r="J75" s="391" t="s">
        <v>1288</v>
      </c>
      <c r="K75" s="490" t="s">
        <v>2001</v>
      </c>
      <c r="L75" s="390">
        <v>3.9289999999999998</v>
      </c>
      <c r="M75" s="396">
        <v>0</v>
      </c>
      <c r="N75" s="397">
        <v>39448</v>
      </c>
      <c r="O75" s="398">
        <f t="shared" si="3"/>
        <v>19.645</v>
      </c>
      <c r="P75" s="391" t="s">
        <v>1084</v>
      </c>
      <c r="Q75" s="395">
        <v>3.9289999999999998</v>
      </c>
      <c r="R75" s="396"/>
      <c r="S75" s="396"/>
      <c r="T75" s="879">
        <v>40204</v>
      </c>
      <c r="U75" s="397">
        <v>39813</v>
      </c>
      <c r="V75" s="399">
        <v>3.9289999999999998</v>
      </c>
      <c r="W75" s="400">
        <f t="shared" si="4"/>
        <v>1</v>
      </c>
      <c r="X75" s="545" t="s">
        <v>1658</v>
      </c>
      <c r="Y75" s="391" t="s">
        <v>1084</v>
      </c>
      <c r="Z75" s="405" t="s">
        <v>1084</v>
      </c>
      <c r="AA75" s="1062">
        <v>40199</v>
      </c>
      <c r="AB75" s="402"/>
      <c r="AC75" s="401"/>
      <c r="AD75" s="401"/>
      <c r="AE75" s="401"/>
      <c r="AF75" s="401"/>
      <c r="AG75" s="396"/>
      <c r="AH75" s="396">
        <v>0.3</v>
      </c>
      <c r="AI75" s="399">
        <f>1033/AH75</f>
        <v>3443.3333333333335</v>
      </c>
      <c r="AJ75" s="885"/>
      <c r="AK75" s="396"/>
      <c r="AL75" s="399"/>
      <c r="AM75" s="396"/>
      <c r="AN75" s="396"/>
      <c r="AO75" s="391"/>
      <c r="AP75" s="514"/>
      <c r="AQ75" s="51"/>
    </row>
    <row r="76" spans="1:48" s="474" customFormat="1" ht="13.15" customHeight="1">
      <c r="A76" s="51" t="s">
        <v>1451</v>
      </c>
      <c r="B76" s="246" t="s">
        <v>810</v>
      </c>
      <c r="C76" s="391" t="s">
        <v>1686</v>
      </c>
      <c r="D76" s="392" t="s">
        <v>255</v>
      </c>
      <c r="E76" s="391" t="s">
        <v>1698</v>
      </c>
      <c r="F76" s="392">
        <v>1</v>
      </c>
      <c r="G76" s="392"/>
      <c r="H76" s="404" t="s">
        <v>968</v>
      </c>
      <c r="I76" s="862" t="s">
        <v>1488</v>
      </c>
      <c r="J76" s="391" t="s">
        <v>1288</v>
      </c>
      <c r="K76" s="490" t="s">
        <v>2001</v>
      </c>
      <c r="L76" s="390">
        <v>8.157</v>
      </c>
      <c r="M76" s="396">
        <v>0</v>
      </c>
      <c r="N76" s="397">
        <v>39448</v>
      </c>
      <c r="O76" s="398">
        <f t="shared" si="3"/>
        <v>40.784999999999997</v>
      </c>
      <c r="P76" s="391" t="s">
        <v>1084</v>
      </c>
      <c r="Q76" s="395">
        <v>8.157</v>
      </c>
      <c r="R76" s="396"/>
      <c r="S76" s="396"/>
      <c r="T76" s="879">
        <v>40204</v>
      </c>
      <c r="U76" s="397">
        <v>39813</v>
      </c>
      <c r="V76" s="399">
        <v>8.157</v>
      </c>
      <c r="W76" s="400">
        <f t="shared" si="4"/>
        <v>1</v>
      </c>
      <c r="X76" s="545" t="s">
        <v>1658</v>
      </c>
      <c r="Y76" s="391" t="s">
        <v>1084</v>
      </c>
      <c r="Z76" s="405" t="s">
        <v>1084</v>
      </c>
      <c r="AA76" s="1062">
        <v>40199</v>
      </c>
      <c r="AB76" s="402"/>
      <c r="AC76" s="401"/>
      <c r="AD76" s="401"/>
      <c r="AE76" s="401"/>
      <c r="AF76" s="401"/>
      <c r="AG76" s="396"/>
      <c r="AH76" s="396">
        <v>0.28399999999999997</v>
      </c>
      <c r="AI76" s="399">
        <f>2088/AH76</f>
        <v>7352.1126760563384</v>
      </c>
      <c r="AJ76" s="885"/>
      <c r="AK76" s="396"/>
      <c r="AL76" s="399"/>
      <c r="AM76" s="396"/>
      <c r="AN76" s="396"/>
      <c r="AO76" s="391"/>
      <c r="AP76" s="514"/>
      <c r="AQ76" s="781"/>
      <c r="AR76" s="820"/>
      <c r="AS76" s="820"/>
      <c r="AT76" s="820"/>
      <c r="AU76" s="820"/>
      <c r="AV76" s="464"/>
    </row>
    <row r="77" spans="1:48" s="474" customFormat="1" ht="13.15" customHeight="1">
      <c r="A77" s="51" t="s">
        <v>1452</v>
      </c>
      <c r="B77" s="246" t="s">
        <v>811</v>
      </c>
      <c r="C77" s="391" t="s">
        <v>1687</v>
      </c>
      <c r="D77" s="392" t="s">
        <v>255</v>
      </c>
      <c r="E77" s="391" t="s">
        <v>1084</v>
      </c>
      <c r="F77" s="392">
        <v>1</v>
      </c>
      <c r="G77" s="392"/>
      <c r="H77" s="404" t="s">
        <v>968</v>
      </c>
      <c r="I77" s="862" t="s">
        <v>1488</v>
      </c>
      <c r="J77" s="391" t="s">
        <v>1288</v>
      </c>
      <c r="K77" s="490" t="s">
        <v>2001</v>
      </c>
      <c r="L77" s="390">
        <v>3.282</v>
      </c>
      <c r="M77" s="396">
        <v>0</v>
      </c>
      <c r="N77" s="397">
        <v>39448</v>
      </c>
      <c r="O77" s="398">
        <f t="shared" si="3"/>
        <v>16.41</v>
      </c>
      <c r="P77" s="391" t="s">
        <v>1084</v>
      </c>
      <c r="Q77" s="395">
        <v>3.282</v>
      </c>
      <c r="R77" s="396"/>
      <c r="S77" s="396"/>
      <c r="T77" s="879">
        <v>40204</v>
      </c>
      <c r="U77" s="397">
        <v>39813</v>
      </c>
      <c r="V77" s="399">
        <v>3.282</v>
      </c>
      <c r="W77" s="400">
        <f t="shared" si="4"/>
        <v>1</v>
      </c>
      <c r="X77" s="404" t="s">
        <v>1658</v>
      </c>
      <c r="Y77" s="391" t="s">
        <v>1084</v>
      </c>
      <c r="Z77" s="405" t="s">
        <v>1084</v>
      </c>
      <c r="AA77" s="1062">
        <v>40199</v>
      </c>
      <c r="AB77" s="402"/>
      <c r="AC77" s="401"/>
      <c r="AD77" s="401"/>
      <c r="AE77" s="401"/>
      <c r="AF77" s="401"/>
      <c r="AG77" s="396"/>
      <c r="AH77" s="396">
        <v>0.14199999999999999</v>
      </c>
      <c r="AI77" s="399">
        <f>840/AH77</f>
        <v>5915.4929577464791</v>
      </c>
      <c r="AJ77" s="885"/>
      <c r="AK77" s="396"/>
      <c r="AL77" s="399"/>
      <c r="AM77" s="396"/>
      <c r="AN77" s="396"/>
      <c r="AO77" s="391"/>
      <c r="AP77" s="514"/>
      <c r="AQ77" s="782"/>
    </row>
    <row r="78" spans="1:48" s="474" customFormat="1" ht="13.15" customHeight="1">
      <c r="A78" s="51" t="s">
        <v>1453</v>
      </c>
      <c r="B78" s="246" t="s">
        <v>812</v>
      </c>
      <c r="C78" s="391" t="s">
        <v>1688</v>
      </c>
      <c r="D78" s="392" t="s">
        <v>255</v>
      </c>
      <c r="E78" s="391" t="s">
        <v>1184</v>
      </c>
      <c r="F78" s="392">
        <v>1</v>
      </c>
      <c r="G78" s="392"/>
      <c r="H78" s="393" t="s">
        <v>968</v>
      </c>
      <c r="I78" s="862" t="s">
        <v>1488</v>
      </c>
      <c r="J78" s="391" t="s">
        <v>1288</v>
      </c>
      <c r="K78" s="490" t="s">
        <v>2001</v>
      </c>
      <c r="L78" s="390">
        <v>4.7510000000000003</v>
      </c>
      <c r="M78" s="396">
        <v>0</v>
      </c>
      <c r="N78" s="397">
        <v>39448</v>
      </c>
      <c r="O78" s="398">
        <f t="shared" si="3"/>
        <v>23.755000000000003</v>
      </c>
      <c r="P78" s="391" t="s">
        <v>1084</v>
      </c>
      <c r="Q78" s="395">
        <v>4.7510000000000003</v>
      </c>
      <c r="R78" s="396"/>
      <c r="S78" s="396"/>
      <c r="T78" s="879">
        <v>40204</v>
      </c>
      <c r="U78" s="397">
        <v>39813</v>
      </c>
      <c r="V78" s="399">
        <v>4.7510000000000003</v>
      </c>
      <c r="W78" s="400">
        <f t="shared" si="4"/>
        <v>1</v>
      </c>
      <c r="X78" s="545" t="s">
        <v>1658</v>
      </c>
      <c r="Y78" s="391" t="s">
        <v>1084</v>
      </c>
      <c r="Z78" s="405" t="s">
        <v>1084</v>
      </c>
      <c r="AA78" s="1062">
        <v>40199</v>
      </c>
      <c r="AB78" s="402"/>
      <c r="AC78" s="401"/>
      <c r="AD78" s="401"/>
      <c r="AE78" s="401"/>
      <c r="AF78" s="401"/>
      <c r="AG78" s="396"/>
      <c r="AH78" s="396">
        <v>0.27</v>
      </c>
      <c r="AI78" s="399">
        <f>1205/AH78</f>
        <v>4462.9629629629626</v>
      </c>
      <c r="AJ78" s="885"/>
      <c r="AK78" s="396"/>
      <c r="AL78" s="399"/>
      <c r="AM78" s="396"/>
      <c r="AN78" s="396"/>
      <c r="AO78" s="391"/>
      <c r="AP78" s="514"/>
      <c r="AQ78" s="51"/>
      <c r="AR78" s="464"/>
      <c r="AS78" s="464"/>
      <c r="AT78" s="464"/>
      <c r="AU78" s="464"/>
      <c r="AV78" s="464"/>
    </row>
    <row r="79" spans="1:48" s="474" customFormat="1" ht="13.15" customHeight="1">
      <c r="A79" s="51" t="s">
        <v>1454</v>
      </c>
      <c r="B79" s="246" t="s">
        <v>813</v>
      </c>
      <c r="C79" s="391" t="s">
        <v>1689</v>
      </c>
      <c r="D79" s="392" t="s">
        <v>255</v>
      </c>
      <c r="E79" s="391" t="s">
        <v>1674</v>
      </c>
      <c r="F79" s="392">
        <v>1</v>
      </c>
      <c r="G79" s="392"/>
      <c r="H79" s="393" t="s">
        <v>968</v>
      </c>
      <c r="I79" s="862" t="s">
        <v>1488</v>
      </c>
      <c r="J79" s="392" t="s">
        <v>1288</v>
      </c>
      <c r="K79" s="490" t="s">
        <v>2001</v>
      </c>
      <c r="L79" s="390">
        <v>3.5310000000000001</v>
      </c>
      <c r="M79" s="396">
        <v>0</v>
      </c>
      <c r="N79" s="397">
        <v>39448</v>
      </c>
      <c r="O79" s="398">
        <f t="shared" si="3"/>
        <v>17.655000000000001</v>
      </c>
      <c r="P79" s="391" t="s">
        <v>1084</v>
      </c>
      <c r="Q79" s="395">
        <v>3.5310000000000001</v>
      </c>
      <c r="R79" s="396"/>
      <c r="S79" s="396"/>
      <c r="T79" s="879">
        <v>40204</v>
      </c>
      <c r="U79" s="397">
        <v>39813</v>
      </c>
      <c r="V79" s="399">
        <v>3.5310000000000001</v>
      </c>
      <c r="W79" s="400">
        <f t="shared" si="4"/>
        <v>1</v>
      </c>
      <c r="X79" s="404" t="s">
        <v>1658</v>
      </c>
      <c r="Y79" s="391" t="s">
        <v>1084</v>
      </c>
      <c r="Z79" s="405" t="s">
        <v>1084</v>
      </c>
      <c r="AA79" s="1062">
        <v>40199</v>
      </c>
      <c r="AB79" s="402"/>
      <c r="AC79" s="401"/>
      <c r="AD79" s="401"/>
      <c r="AE79" s="401"/>
      <c r="AF79" s="401"/>
      <c r="AG79" s="390"/>
      <c r="AH79" s="390">
        <v>0.14199999999999999</v>
      </c>
      <c r="AI79" s="395">
        <f>904/AH79</f>
        <v>6366.1971830985922</v>
      </c>
      <c r="AJ79" s="434"/>
      <c r="AK79" s="396"/>
      <c r="AL79" s="395"/>
      <c r="AM79" s="390"/>
      <c r="AN79" s="390"/>
      <c r="AO79" s="391"/>
      <c r="AP79" s="514"/>
      <c r="AQ79" s="51"/>
      <c r="AR79" s="489"/>
      <c r="AS79" s="489"/>
      <c r="AT79" s="489"/>
      <c r="AU79" s="489"/>
      <c r="AV79" s="489"/>
    </row>
    <row r="80" spans="1:48" s="474" customFormat="1" ht="13.15" customHeight="1">
      <c r="A80" s="51" t="s">
        <v>1455</v>
      </c>
      <c r="B80" s="246" t="s">
        <v>814</v>
      </c>
      <c r="C80" s="391" t="s">
        <v>1690</v>
      </c>
      <c r="D80" s="392" t="s">
        <v>255</v>
      </c>
      <c r="E80" s="391" t="s">
        <v>1184</v>
      </c>
      <c r="F80" s="392">
        <v>1</v>
      </c>
      <c r="G80" s="392"/>
      <c r="H80" s="393" t="s">
        <v>968</v>
      </c>
      <c r="I80" s="862" t="s">
        <v>1488</v>
      </c>
      <c r="J80" s="392" t="s">
        <v>1288</v>
      </c>
      <c r="K80" s="490" t="s">
        <v>2001</v>
      </c>
      <c r="L80" s="390">
        <v>3.431</v>
      </c>
      <c r="M80" s="396">
        <v>0</v>
      </c>
      <c r="N80" s="397">
        <v>39448</v>
      </c>
      <c r="O80" s="398">
        <f t="shared" si="3"/>
        <v>17.155000000000001</v>
      </c>
      <c r="P80" s="391" t="s">
        <v>1084</v>
      </c>
      <c r="Q80" s="395">
        <v>3.431</v>
      </c>
      <c r="R80" s="396"/>
      <c r="S80" s="396"/>
      <c r="T80" s="879">
        <v>40204</v>
      </c>
      <c r="U80" s="397">
        <v>39813</v>
      </c>
      <c r="V80" s="399">
        <v>3.431</v>
      </c>
      <c r="W80" s="400">
        <f t="shared" si="4"/>
        <v>1</v>
      </c>
      <c r="X80" s="404" t="s">
        <v>1658</v>
      </c>
      <c r="Y80" s="391" t="s">
        <v>1084</v>
      </c>
      <c r="Z80" s="405" t="s">
        <v>1084</v>
      </c>
      <c r="AA80" s="1062">
        <v>40199</v>
      </c>
      <c r="AB80" s="402"/>
      <c r="AC80" s="401"/>
      <c r="AD80" s="401"/>
      <c r="AE80" s="401"/>
      <c r="AF80" s="401"/>
      <c r="AG80" s="390"/>
      <c r="AH80" s="390">
        <v>1.1000000000000001</v>
      </c>
      <c r="AI80" s="395">
        <f>913/AH80</f>
        <v>829.99999999999989</v>
      </c>
      <c r="AJ80" s="434"/>
      <c r="AK80" s="390"/>
      <c r="AL80" s="395"/>
      <c r="AM80" s="390"/>
      <c r="AN80" s="390"/>
      <c r="AO80" s="391"/>
      <c r="AP80" s="514"/>
      <c r="AQ80" s="51"/>
    </row>
    <row r="81" spans="1:48" s="474" customFormat="1" ht="13.5" customHeight="1">
      <c r="A81" s="51" t="s">
        <v>1456</v>
      </c>
      <c r="B81" s="246" t="s">
        <v>815</v>
      </c>
      <c r="C81" s="391" t="s">
        <v>1691</v>
      </c>
      <c r="D81" s="392" t="s">
        <v>255</v>
      </c>
      <c r="E81" s="391" t="s">
        <v>1699</v>
      </c>
      <c r="F81" s="392">
        <v>1</v>
      </c>
      <c r="G81" s="392"/>
      <c r="H81" s="393" t="s">
        <v>968</v>
      </c>
      <c r="I81" s="862" t="s">
        <v>1488</v>
      </c>
      <c r="J81" s="391" t="s">
        <v>1288</v>
      </c>
      <c r="K81" s="490" t="s">
        <v>2001</v>
      </c>
      <c r="L81" s="390">
        <v>4.8250000000000002</v>
      </c>
      <c r="M81" s="396">
        <v>0</v>
      </c>
      <c r="N81" s="397">
        <v>39448</v>
      </c>
      <c r="O81" s="398">
        <f t="shared" si="3"/>
        <v>24.125</v>
      </c>
      <c r="P81" s="391" t="s">
        <v>1084</v>
      </c>
      <c r="Q81" s="395">
        <v>4.8250000000000002</v>
      </c>
      <c r="R81" s="396"/>
      <c r="S81" s="396"/>
      <c r="T81" s="879">
        <v>40204</v>
      </c>
      <c r="U81" s="397">
        <v>39813</v>
      </c>
      <c r="V81" s="399">
        <v>4.8250000000000002</v>
      </c>
      <c r="W81" s="400">
        <f t="shared" si="4"/>
        <v>1</v>
      </c>
      <c r="X81" s="545" t="s">
        <v>1658</v>
      </c>
      <c r="Y81" s="391" t="s">
        <v>1084</v>
      </c>
      <c r="Z81" s="405" t="s">
        <v>1084</v>
      </c>
      <c r="AA81" s="1062">
        <v>40199</v>
      </c>
      <c r="AB81" s="402"/>
      <c r="AC81" s="401"/>
      <c r="AD81" s="401"/>
      <c r="AE81" s="401"/>
      <c r="AF81" s="401"/>
      <c r="AG81" s="396"/>
      <c r="AH81" s="396">
        <v>0.28999999999999998</v>
      </c>
      <c r="AI81" s="399">
        <f>1301/AH81</f>
        <v>4486.2068965517246</v>
      </c>
      <c r="AJ81" s="885"/>
      <c r="AK81" s="396"/>
      <c r="AL81" s="399"/>
      <c r="AM81" s="396"/>
      <c r="AN81" s="396"/>
      <c r="AO81" s="391"/>
      <c r="AP81" s="514"/>
      <c r="AQ81" s="51"/>
    </row>
    <row r="82" spans="1:48" s="474" customFormat="1" ht="27" customHeight="1">
      <c r="A82" s="51" t="s">
        <v>1457</v>
      </c>
      <c r="B82" s="246" t="s">
        <v>816</v>
      </c>
      <c r="C82" s="391" t="s">
        <v>1693</v>
      </c>
      <c r="D82" s="392" t="s">
        <v>255</v>
      </c>
      <c r="E82" s="391" t="s">
        <v>1084</v>
      </c>
      <c r="F82" s="392">
        <v>1</v>
      </c>
      <c r="G82" s="391"/>
      <c r="H82" s="393" t="s">
        <v>968</v>
      </c>
      <c r="I82" s="862" t="s">
        <v>1488</v>
      </c>
      <c r="J82" s="391" t="s">
        <v>1288</v>
      </c>
      <c r="K82" s="490" t="s">
        <v>2001</v>
      </c>
      <c r="L82" s="390">
        <v>0.20499999999999999</v>
      </c>
      <c r="M82" s="396">
        <v>0</v>
      </c>
      <c r="N82" s="397">
        <v>39448</v>
      </c>
      <c r="O82" s="398">
        <f t="shared" si="3"/>
        <v>1.0249999999999999</v>
      </c>
      <c r="P82" s="391" t="s">
        <v>1084</v>
      </c>
      <c r="Q82" s="395">
        <v>0.20499999999999999</v>
      </c>
      <c r="R82" s="396"/>
      <c r="S82" s="396"/>
      <c r="T82" s="879">
        <v>40204</v>
      </c>
      <c r="U82" s="397">
        <v>39813</v>
      </c>
      <c r="V82" s="399">
        <v>0.20499999999999999</v>
      </c>
      <c r="W82" s="400">
        <f t="shared" si="4"/>
        <v>1</v>
      </c>
      <c r="X82" s="545" t="s">
        <v>1658</v>
      </c>
      <c r="Y82" s="391" t="s">
        <v>1084</v>
      </c>
      <c r="Z82" s="405" t="s">
        <v>1084</v>
      </c>
      <c r="AA82" s="1062">
        <v>40199</v>
      </c>
      <c r="AB82" s="402"/>
      <c r="AC82" s="401"/>
      <c r="AD82" s="401"/>
      <c r="AE82" s="401"/>
      <c r="AF82" s="401"/>
      <c r="AG82" s="396"/>
      <c r="AH82" s="396">
        <v>0.3</v>
      </c>
      <c r="AI82" s="399">
        <f>59/AH82</f>
        <v>196.66666666666669</v>
      </c>
      <c r="AJ82" s="885"/>
      <c r="AK82" s="396"/>
      <c r="AL82" s="399"/>
      <c r="AM82" s="396"/>
      <c r="AN82" s="396"/>
      <c r="AO82" s="391"/>
      <c r="AP82" s="783"/>
      <c r="AQ82" s="51"/>
    </row>
    <row r="83" spans="1:48" s="474" customFormat="1" ht="25.5" customHeight="1">
      <c r="A83" s="51" t="s">
        <v>1458</v>
      </c>
      <c r="B83" s="246" t="s">
        <v>817</v>
      </c>
      <c r="C83" s="391" t="s">
        <v>1459</v>
      </c>
      <c r="D83" s="392" t="s">
        <v>255</v>
      </c>
      <c r="E83" s="391" t="s">
        <v>1700</v>
      </c>
      <c r="F83" s="392">
        <v>1</v>
      </c>
      <c r="G83" s="392"/>
      <c r="H83" s="393" t="s">
        <v>968</v>
      </c>
      <c r="I83" s="394" t="s">
        <v>1488</v>
      </c>
      <c r="J83" s="391" t="s">
        <v>1709</v>
      </c>
      <c r="K83" s="490" t="s">
        <v>2001</v>
      </c>
      <c r="L83" s="390">
        <v>8.3279999999999994</v>
      </c>
      <c r="M83" s="396">
        <v>0</v>
      </c>
      <c r="N83" s="397">
        <v>39448</v>
      </c>
      <c r="O83" s="398">
        <f t="shared" si="3"/>
        <v>41.64</v>
      </c>
      <c r="P83" s="391" t="s">
        <v>1084</v>
      </c>
      <c r="Q83" s="395">
        <v>8.3279999999999994</v>
      </c>
      <c r="R83" s="396"/>
      <c r="S83" s="396"/>
      <c r="T83" s="879">
        <v>40204</v>
      </c>
      <c r="U83" s="397">
        <v>39813</v>
      </c>
      <c r="V83" s="399">
        <v>8.3279999999999994</v>
      </c>
      <c r="W83" s="400">
        <f t="shared" si="4"/>
        <v>1</v>
      </c>
      <c r="X83" s="545" t="s">
        <v>1658</v>
      </c>
      <c r="Y83" s="391" t="s">
        <v>1084</v>
      </c>
      <c r="Z83" s="405" t="s">
        <v>1084</v>
      </c>
      <c r="AA83" s="1062">
        <v>40199</v>
      </c>
      <c r="AB83" s="402"/>
      <c r="AC83" s="401"/>
      <c r="AD83" s="401"/>
      <c r="AE83" s="401"/>
      <c r="AF83" s="401"/>
      <c r="AG83" s="396"/>
      <c r="AH83" s="396">
        <v>0.30199999999999999</v>
      </c>
      <c r="AI83" s="399">
        <f>2267/AH83</f>
        <v>7506.6225165562919</v>
      </c>
      <c r="AJ83" s="885"/>
      <c r="AK83" s="396"/>
      <c r="AL83" s="399"/>
      <c r="AM83" s="396"/>
      <c r="AN83" s="396"/>
      <c r="AO83" s="391"/>
      <c r="AP83" s="514"/>
      <c r="AQ83" s="51"/>
      <c r="AR83" s="820"/>
      <c r="AS83" s="820"/>
      <c r="AT83" s="820"/>
      <c r="AU83" s="820"/>
      <c r="AV83" s="464"/>
    </row>
    <row r="84" spans="1:48" s="474" customFormat="1" ht="27" customHeight="1">
      <c r="A84" s="51" t="s">
        <v>1810</v>
      </c>
      <c r="B84" s="756" t="s">
        <v>1798</v>
      </c>
      <c r="C84" s="445" t="s">
        <v>1804</v>
      </c>
      <c r="D84" s="392" t="s">
        <v>255</v>
      </c>
      <c r="E84" s="445" t="s">
        <v>1820</v>
      </c>
      <c r="F84" s="420">
        <v>1</v>
      </c>
      <c r="G84" s="420"/>
      <c r="H84" s="421" t="s">
        <v>968</v>
      </c>
      <c r="I84" s="394" t="s">
        <v>1488</v>
      </c>
      <c r="J84" s="391" t="s">
        <v>1709</v>
      </c>
      <c r="K84" s="450" t="s">
        <v>1084</v>
      </c>
      <c r="L84" s="422">
        <v>25.225999999999999</v>
      </c>
      <c r="M84" s="423">
        <v>0</v>
      </c>
      <c r="N84" s="444">
        <v>39448</v>
      </c>
      <c r="O84" s="424">
        <f t="shared" si="3"/>
        <v>126.13</v>
      </c>
      <c r="P84" s="445" t="s">
        <v>1084</v>
      </c>
      <c r="Q84" s="422">
        <v>59.040999999999997</v>
      </c>
      <c r="R84" s="425"/>
      <c r="S84" s="425"/>
      <c r="T84" s="881">
        <v>40576</v>
      </c>
      <c r="U84" s="444">
        <v>40543</v>
      </c>
      <c r="V84" s="425">
        <v>75.677999999999997</v>
      </c>
      <c r="W84" s="400">
        <f t="shared" si="4"/>
        <v>0.78016068077909029</v>
      </c>
      <c r="X84" s="544" t="s">
        <v>2290</v>
      </c>
      <c r="Y84" s="445" t="s">
        <v>1838</v>
      </c>
      <c r="Z84" s="445" t="s">
        <v>1824</v>
      </c>
      <c r="AA84" s="805">
        <v>40277</v>
      </c>
      <c r="AB84" s="430"/>
      <c r="AC84" s="431"/>
      <c r="AD84" s="431"/>
      <c r="AE84" s="431"/>
      <c r="AF84" s="431"/>
      <c r="AG84" s="423"/>
      <c r="AH84" s="1024"/>
      <c r="AI84" s="425"/>
      <c r="AJ84" s="551"/>
      <c r="AK84" s="423"/>
      <c r="AL84" s="425"/>
      <c r="AM84" s="423"/>
      <c r="AN84" s="423"/>
      <c r="AO84" s="419"/>
      <c r="AP84" s="514"/>
      <c r="AQ84" s="782"/>
    </row>
    <row r="85" spans="1:48" s="474" customFormat="1" ht="13.15" customHeight="1">
      <c r="A85" s="51" t="s">
        <v>1811</v>
      </c>
      <c r="B85" s="488" t="s">
        <v>1799</v>
      </c>
      <c r="C85" s="445" t="s">
        <v>1807</v>
      </c>
      <c r="D85" s="973" t="s">
        <v>255</v>
      </c>
      <c r="E85" s="445" t="s">
        <v>1821</v>
      </c>
      <c r="F85" s="420">
        <v>1</v>
      </c>
      <c r="G85" s="420"/>
      <c r="H85" s="421" t="s">
        <v>968</v>
      </c>
      <c r="I85" s="394" t="s">
        <v>1488</v>
      </c>
      <c r="J85" s="391" t="s">
        <v>1709</v>
      </c>
      <c r="K85" s="450" t="s">
        <v>1084</v>
      </c>
      <c r="L85" s="432">
        <v>1.605</v>
      </c>
      <c r="M85" s="423">
        <v>0</v>
      </c>
      <c r="N85" s="444">
        <v>39448</v>
      </c>
      <c r="O85" s="424">
        <f t="shared" si="3"/>
        <v>8.0250000000000004</v>
      </c>
      <c r="P85" s="445" t="s">
        <v>1084</v>
      </c>
      <c r="Q85" s="422">
        <v>4.3739999999999997</v>
      </c>
      <c r="R85" s="423"/>
      <c r="S85" s="423"/>
      <c r="T85" s="881">
        <v>40575</v>
      </c>
      <c r="U85" s="444">
        <v>40543</v>
      </c>
      <c r="V85" s="425">
        <v>4.8149999999999995</v>
      </c>
      <c r="W85" s="400">
        <f t="shared" si="4"/>
        <v>0.90841121495327104</v>
      </c>
      <c r="X85" s="543" t="s">
        <v>2290</v>
      </c>
      <c r="Y85" s="445" t="s">
        <v>1838</v>
      </c>
      <c r="Z85" s="445" t="s">
        <v>1824</v>
      </c>
      <c r="AA85" s="805">
        <v>40277</v>
      </c>
      <c r="AB85" s="430"/>
      <c r="AC85" s="431"/>
      <c r="AD85" s="431"/>
      <c r="AE85" s="431"/>
      <c r="AF85" s="431"/>
      <c r="AG85" s="423"/>
      <c r="AH85" s="423">
        <v>0.32</v>
      </c>
      <c r="AI85" s="1079"/>
      <c r="AJ85" s="551"/>
      <c r="AK85" s="423"/>
      <c r="AL85" s="425"/>
      <c r="AM85" s="423"/>
      <c r="AN85" s="423"/>
      <c r="AO85" s="419"/>
      <c r="AP85" s="514"/>
      <c r="AQ85" s="51"/>
    </row>
    <row r="86" spans="1:48" s="474" customFormat="1" ht="13.15" customHeight="1">
      <c r="A86" s="51" t="s">
        <v>1812</v>
      </c>
      <c r="B86" s="488" t="s">
        <v>1800</v>
      </c>
      <c r="C86" s="445" t="s">
        <v>1805</v>
      </c>
      <c r="D86" s="972" t="s">
        <v>255</v>
      </c>
      <c r="E86" s="445" t="s">
        <v>1822</v>
      </c>
      <c r="F86" s="420">
        <v>1</v>
      </c>
      <c r="G86" s="420"/>
      <c r="H86" s="421" t="s">
        <v>968</v>
      </c>
      <c r="I86" s="394" t="s">
        <v>1488</v>
      </c>
      <c r="J86" s="391" t="s">
        <v>1709</v>
      </c>
      <c r="K86" s="450" t="s">
        <v>1084</v>
      </c>
      <c r="L86" s="432">
        <v>3.907</v>
      </c>
      <c r="M86" s="423">
        <v>0</v>
      </c>
      <c r="N86" s="444">
        <v>39448</v>
      </c>
      <c r="O86" s="424">
        <f t="shared" si="3"/>
        <v>19.535</v>
      </c>
      <c r="P86" s="445" t="s">
        <v>1084</v>
      </c>
      <c r="Q86" s="422">
        <v>11.313000000000001</v>
      </c>
      <c r="R86" s="425"/>
      <c r="S86" s="425"/>
      <c r="T86" s="881">
        <v>40576</v>
      </c>
      <c r="U86" s="444">
        <v>40543</v>
      </c>
      <c r="V86" s="425">
        <v>11.721</v>
      </c>
      <c r="W86" s="400">
        <f t="shared" si="4"/>
        <v>0.96519068338878944</v>
      </c>
      <c r="X86" s="543" t="s">
        <v>2290</v>
      </c>
      <c r="Y86" s="445" t="s">
        <v>1838</v>
      </c>
      <c r="Z86" s="445" t="s">
        <v>1824</v>
      </c>
      <c r="AA86" s="805">
        <v>40277</v>
      </c>
      <c r="AB86" s="430"/>
      <c r="AC86" s="431"/>
      <c r="AD86" s="431"/>
      <c r="AE86" s="431"/>
      <c r="AF86" s="431"/>
      <c r="AG86" s="423"/>
      <c r="AH86" s="423">
        <v>0.27</v>
      </c>
      <c r="AI86" s="1079"/>
      <c r="AJ86" s="551"/>
      <c r="AK86" s="423"/>
      <c r="AL86" s="425"/>
      <c r="AM86" s="423"/>
      <c r="AN86" s="423"/>
      <c r="AO86" s="419"/>
      <c r="AP86" s="514"/>
      <c r="AQ86" s="51"/>
    </row>
    <row r="87" spans="1:48" s="474" customFormat="1" ht="13.15" customHeight="1">
      <c r="A87" s="51" t="s">
        <v>1813</v>
      </c>
      <c r="B87" s="488" t="s">
        <v>1801</v>
      </c>
      <c r="C87" s="445" t="s">
        <v>1808</v>
      </c>
      <c r="D87" s="972" t="s">
        <v>255</v>
      </c>
      <c r="E87" s="445" t="s">
        <v>1825</v>
      </c>
      <c r="F87" s="420">
        <v>1</v>
      </c>
      <c r="G87" s="420"/>
      <c r="H87" s="421" t="s">
        <v>968</v>
      </c>
      <c r="I87" s="394" t="s">
        <v>1488</v>
      </c>
      <c r="J87" s="391" t="s">
        <v>1709</v>
      </c>
      <c r="K87" s="450" t="s">
        <v>1084</v>
      </c>
      <c r="L87" s="422">
        <v>17.356000000000002</v>
      </c>
      <c r="M87" s="423">
        <v>0</v>
      </c>
      <c r="N87" s="444">
        <v>39448</v>
      </c>
      <c r="O87" s="424">
        <f t="shared" si="3"/>
        <v>86.78</v>
      </c>
      <c r="P87" s="445" t="s">
        <v>1084</v>
      </c>
      <c r="Q87" s="422">
        <v>35.325000000000003</v>
      </c>
      <c r="R87" s="425"/>
      <c r="S87" s="425"/>
      <c r="T87" s="881">
        <v>40582</v>
      </c>
      <c r="U87" s="444">
        <v>40543</v>
      </c>
      <c r="V87" s="425">
        <v>52.068000000000005</v>
      </c>
      <c r="W87" s="400">
        <f t="shared" si="4"/>
        <v>0.67843973265729429</v>
      </c>
      <c r="X87" s="543" t="s">
        <v>2290</v>
      </c>
      <c r="Y87" s="445" t="s">
        <v>1838</v>
      </c>
      <c r="Z87" s="445" t="s">
        <v>1824</v>
      </c>
      <c r="AA87" s="805">
        <v>40277</v>
      </c>
      <c r="AB87" s="430"/>
      <c r="AC87" s="431"/>
      <c r="AD87" s="431"/>
      <c r="AE87" s="431"/>
      <c r="AF87" s="431"/>
      <c r="AG87" s="423"/>
      <c r="AH87" s="423">
        <v>1.1240000000000001</v>
      </c>
      <c r="AI87" s="1079"/>
      <c r="AJ87" s="551"/>
      <c r="AK87" s="423"/>
      <c r="AL87" s="425"/>
      <c r="AM87" s="423"/>
      <c r="AN87" s="423"/>
      <c r="AO87" s="419"/>
      <c r="AP87" s="514"/>
      <c r="AQ87" s="51"/>
    </row>
    <row r="88" spans="1:48" s="474" customFormat="1">
      <c r="A88" s="51" t="s">
        <v>1814</v>
      </c>
      <c r="B88" s="488" t="s">
        <v>1802</v>
      </c>
      <c r="C88" s="445" t="s">
        <v>1806</v>
      </c>
      <c r="D88" s="972" t="s">
        <v>255</v>
      </c>
      <c r="E88" s="445" t="s">
        <v>1823</v>
      </c>
      <c r="F88" s="420">
        <v>1</v>
      </c>
      <c r="G88" s="420"/>
      <c r="H88" s="421" t="s">
        <v>968</v>
      </c>
      <c r="I88" s="394" t="s">
        <v>1488</v>
      </c>
      <c r="J88" s="392" t="s">
        <v>1709</v>
      </c>
      <c r="K88" s="450" t="s">
        <v>1084</v>
      </c>
      <c r="L88" s="422">
        <v>5.3579999999999997</v>
      </c>
      <c r="M88" s="423">
        <v>0</v>
      </c>
      <c r="N88" s="444">
        <v>39448</v>
      </c>
      <c r="O88" s="424">
        <f t="shared" si="3"/>
        <v>26.79</v>
      </c>
      <c r="P88" s="445" t="s">
        <v>1084</v>
      </c>
      <c r="Q88" s="422">
        <v>16.231000000000002</v>
      </c>
      <c r="R88" s="425"/>
      <c r="S88" s="425"/>
      <c r="T88" s="881">
        <v>40575</v>
      </c>
      <c r="U88" s="444">
        <v>40543</v>
      </c>
      <c r="V88" s="425">
        <v>16.073999999999998</v>
      </c>
      <c r="W88" s="400">
        <f t="shared" si="4"/>
        <v>1.0097673261167104</v>
      </c>
      <c r="X88" s="543" t="s">
        <v>2290</v>
      </c>
      <c r="Y88" s="445" t="s">
        <v>1838</v>
      </c>
      <c r="Z88" s="445" t="s">
        <v>1824</v>
      </c>
      <c r="AA88" s="805">
        <v>40277</v>
      </c>
      <c r="AB88" s="430"/>
      <c r="AC88" s="431"/>
      <c r="AD88" s="431"/>
      <c r="AE88" s="431"/>
      <c r="AF88" s="431"/>
      <c r="AG88" s="423"/>
      <c r="AH88" s="423">
        <v>0.32</v>
      </c>
      <c r="AI88" s="1079"/>
      <c r="AJ88" s="551"/>
      <c r="AK88" s="423"/>
      <c r="AL88" s="425"/>
      <c r="AM88" s="423"/>
      <c r="AN88" s="423"/>
      <c r="AO88" s="419"/>
      <c r="AP88" s="514"/>
      <c r="AQ88" s="51"/>
    </row>
    <row r="89" spans="1:48" s="474" customFormat="1" ht="13.15" customHeight="1">
      <c r="A89" s="467" t="s">
        <v>2095</v>
      </c>
      <c r="B89" s="468" t="s">
        <v>2098</v>
      </c>
      <c r="C89" s="445" t="s">
        <v>2099</v>
      </c>
      <c r="D89" s="449" t="s">
        <v>255</v>
      </c>
      <c r="E89" s="445" t="s">
        <v>2101</v>
      </c>
      <c r="F89" s="420">
        <v>1</v>
      </c>
      <c r="G89" s="420"/>
      <c r="H89" s="450" t="s">
        <v>968</v>
      </c>
      <c r="I89" s="455" t="s">
        <v>971</v>
      </c>
      <c r="J89" s="552" t="s">
        <v>1364</v>
      </c>
      <c r="K89" s="490" t="s">
        <v>2001</v>
      </c>
      <c r="L89" s="422">
        <f>62.326</f>
        <v>62.326000000000001</v>
      </c>
      <c r="M89" s="423">
        <v>0</v>
      </c>
      <c r="N89" s="479">
        <v>39448</v>
      </c>
      <c r="O89" s="424"/>
      <c r="P89" s="419" t="s">
        <v>1084</v>
      </c>
      <c r="Q89" s="422">
        <f>62.326</f>
        <v>62.326000000000001</v>
      </c>
      <c r="R89" s="425"/>
      <c r="S89" s="425"/>
      <c r="T89" s="881">
        <v>40359</v>
      </c>
      <c r="U89" s="444">
        <v>39813</v>
      </c>
      <c r="V89" s="399">
        <v>62.326000000000001</v>
      </c>
      <c r="W89" s="400">
        <f t="shared" si="4"/>
        <v>1</v>
      </c>
      <c r="X89" s="543" t="s">
        <v>1314</v>
      </c>
      <c r="Y89" s="445" t="s">
        <v>504</v>
      </c>
      <c r="Z89" s="532" t="s">
        <v>288</v>
      </c>
      <c r="AA89" s="430">
        <v>40477</v>
      </c>
      <c r="AB89" s="430"/>
      <c r="AC89" s="431"/>
      <c r="AD89" s="431"/>
      <c r="AE89" s="431"/>
      <c r="AF89" s="431"/>
      <c r="AG89" s="423"/>
      <c r="AH89" s="423">
        <v>4.5972099999999996</v>
      </c>
      <c r="AI89" s="896"/>
      <c r="AJ89" s="423"/>
      <c r="AK89" s="423"/>
      <c r="AL89" s="423"/>
      <c r="AM89" s="423"/>
      <c r="AN89" s="423"/>
      <c r="AO89" s="445" t="s">
        <v>2100</v>
      </c>
      <c r="AP89" s="463"/>
      <c r="AQ89" s="51"/>
      <c r="AR89" s="464"/>
      <c r="AS89" s="464"/>
      <c r="AT89" s="464"/>
      <c r="AU89" s="464"/>
      <c r="AV89" s="464"/>
    </row>
    <row r="90" spans="1:48" s="474" customFormat="1" ht="13.15" customHeight="1">
      <c r="A90" s="467" t="s">
        <v>2253</v>
      </c>
      <c r="B90" s="801" t="s">
        <v>2254</v>
      </c>
      <c r="C90" s="445" t="s">
        <v>2255</v>
      </c>
      <c r="D90" s="449" t="s">
        <v>255</v>
      </c>
      <c r="E90" s="445" t="s">
        <v>2256</v>
      </c>
      <c r="F90" s="802">
        <v>1</v>
      </c>
      <c r="G90" s="802"/>
      <c r="H90" s="490" t="s">
        <v>968</v>
      </c>
      <c r="I90" s="471" t="s">
        <v>1488</v>
      </c>
      <c r="J90" s="420" t="s">
        <v>1709</v>
      </c>
      <c r="K90" s="490" t="s">
        <v>2001</v>
      </c>
      <c r="L90" s="803">
        <f>O90/3.25</f>
        <v>1.0215384615384615</v>
      </c>
      <c r="M90" s="505">
        <v>0</v>
      </c>
      <c r="N90" s="479">
        <v>40087</v>
      </c>
      <c r="O90" s="804">
        <v>3.32</v>
      </c>
      <c r="P90" s="419" t="s">
        <v>1084</v>
      </c>
      <c r="Q90" s="845">
        <v>0.92100000000000004</v>
      </c>
      <c r="R90" s="505"/>
      <c r="S90" s="505"/>
      <c r="T90" s="880">
        <v>40571</v>
      </c>
      <c r="U90" s="479">
        <v>40543</v>
      </c>
      <c r="V90" s="478">
        <v>1.2762233930453108</v>
      </c>
      <c r="W90" s="400">
        <f t="shared" si="4"/>
        <v>0.72166049064679771</v>
      </c>
      <c r="X90" s="503" t="s">
        <v>1658</v>
      </c>
      <c r="Y90" s="419" t="s">
        <v>1084</v>
      </c>
      <c r="Z90" s="532" t="s">
        <v>1084</v>
      </c>
      <c r="AA90" s="805">
        <v>40584</v>
      </c>
      <c r="AB90" s="805"/>
      <c r="AC90" s="805"/>
      <c r="AD90" s="805"/>
      <c r="AE90" s="805"/>
      <c r="AF90" s="805"/>
      <c r="AG90" s="480"/>
      <c r="AH90" s="505">
        <v>0</v>
      </c>
      <c r="AI90" s="478"/>
      <c r="AJ90" s="846"/>
      <c r="AK90" s="480"/>
      <c r="AL90" s="480"/>
      <c r="AM90" s="480"/>
      <c r="AN90" s="480"/>
      <c r="AO90" s="480"/>
      <c r="AP90" s="787"/>
      <c r="AQ90" s="51"/>
      <c r="AR90" s="820"/>
      <c r="AS90" s="820"/>
      <c r="AT90" s="820"/>
      <c r="AU90" s="820"/>
      <c r="AV90" s="464"/>
    </row>
    <row r="91" spans="1:48" s="474" customFormat="1" ht="13.15" customHeight="1">
      <c r="A91" s="467" t="s">
        <v>2322</v>
      </c>
      <c r="B91" s="756" t="s">
        <v>2328</v>
      </c>
      <c r="C91" s="445" t="s">
        <v>2338</v>
      </c>
      <c r="D91" s="392" t="s">
        <v>255</v>
      </c>
      <c r="E91" s="445" t="s">
        <v>2339</v>
      </c>
      <c r="F91" s="802">
        <v>1</v>
      </c>
      <c r="G91" s="802"/>
      <c r="H91" s="490" t="s">
        <v>968</v>
      </c>
      <c r="I91" s="724" t="s">
        <v>1082</v>
      </c>
      <c r="J91" s="507"/>
      <c r="K91" s="490" t="s">
        <v>2001</v>
      </c>
      <c r="L91" s="803">
        <v>3.5920000000000001</v>
      </c>
      <c r="M91" s="505">
        <v>0</v>
      </c>
      <c r="N91" s="479">
        <v>39448</v>
      </c>
      <c r="O91" s="804">
        <f t="shared" ref="O91:O98" si="5">L91*5</f>
        <v>17.96</v>
      </c>
      <c r="P91" s="727" t="s">
        <v>1732</v>
      </c>
      <c r="Q91" s="845">
        <f>7.42+7.583</f>
        <v>15.003</v>
      </c>
      <c r="R91" s="478"/>
      <c r="S91" s="478"/>
      <c r="T91" s="880">
        <v>40500</v>
      </c>
      <c r="U91" s="479">
        <v>40178</v>
      </c>
      <c r="V91" s="478">
        <v>7.1840000000000002</v>
      </c>
      <c r="W91" s="400">
        <f t="shared" si="4"/>
        <v>2.0883908685968819</v>
      </c>
      <c r="X91" s="503" t="s">
        <v>1732</v>
      </c>
      <c r="Y91" s="452" t="s">
        <v>1084</v>
      </c>
      <c r="Z91" s="391" t="s">
        <v>1623</v>
      </c>
      <c r="AA91" s="805">
        <v>40619</v>
      </c>
      <c r="AB91" s="805"/>
      <c r="AC91" s="805"/>
      <c r="AD91" s="805"/>
      <c r="AE91" s="805"/>
      <c r="AF91" s="805"/>
      <c r="AG91" s="480"/>
      <c r="AH91" s="505">
        <v>0</v>
      </c>
      <c r="AI91" s="478"/>
      <c r="AJ91" s="846"/>
      <c r="AK91" s="480"/>
      <c r="AL91" s="480"/>
      <c r="AM91" s="480"/>
      <c r="AN91" s="480"/>
      <c r="AO91" s="532" t="s">
        <v>1136</v>
      </c>
      <c r="AP91" s="787"/>
      <c r="AQ91" s="51"/>
    </row>
    <row r="92" spans="1:48" s="474" customFormat="1" ht="13.15" customHeight="1">
      <c r="A92" s="467" t="s">
        <v>2323</v>
      </c>
      <c r="B92" s="756" t="s">
        <v>2329</v>
      </c>
      <c r="C92" s="445" t="s">
        <v>2340</v>
      </c>
      <c r="D92" s="392" t="s">
        <v>255</v>
      </c>
      <c r="E92" s="445" t="s">
        <v>1672</v>
      </c>
      <c r="F92" s="802">
        <v>1</v>
      </c>
      <c r="G92" s="802"/>
      <c r="H92" s="490" t="s">
        <v>968</v>
      </c>
      <c r="I92" s="724" t="s">
        <v>1082</v>
      </c>
      <c r="J92" s="507"/>
      <c r="K92" s="490" t="s">
        <v>2001</v>
      </c>
      <c r="L92" s="803">
        <v>4.4210000000000003</v>
      </c>
      <c r="M92" s="505">
        <v>0</v>
      </c>
      <c r="N92" s="479">
        <v>39448</v>
      </c>
      <c r="O92" s="804">
        <f t="shared" si="5"/>
        <v>22.105</v>
      </c>
      <c r="P92" s="727" t="s">
        <v>1732</v>
      </c>
      <c r="Q92" s="845">
        <f>3.647+3.684</f>
        <v>7.3309999999999995</v>
      </c>
      <c r="R92" s="478"/>
      <c r="S92" s="478"/>
      <c r="T92" s="880">
        <v>40500</v>
      </c>
      <c r="U92" s="479">
        <v>40178</v>
      </c>
      <c r="V92" s="478">
        <v>8.8420000000000005</v>
      </c>
      <c r="W92" s="400">
        <f t="shared" si="4"/>
        <v>0.82911106084596231</v>
      </c>
      <c r="X92" s="503" t="s">
        <v>1732</v>
      </c>
      <c r="Y92" s="452" t="s">
        <v>1084</v>
      </c>
      <c r="Z92" s="391" t="s">
        <v>1623</v>
      </c>
      <c r="AA92" s="805">
        <v>40619</v>
      </c>
      <c r="AB92" s="805"/>
      <c r="AC92" s="805"/>
      <c r="AD92" s="805"/>
      <c r="AE92" s="805"/>
      <c r="AF92" s="805"/>
      <c r="AG92" s="480"/>
      <c r="AH92" s="505">
        <v>0</v>
      </c>
      <c r="AI92" s="478"/>
      <c r="AJ92" s="846"/>
      <c r="AK92" s="480"/>
      <c r="AL92" s="480"/>
      <c r="AM92" s="480"/>
      <c r="AN92" s="480"/>
      <c r="AO92" s="532" t="s">
        <v>1136</v>
      </c>
      <c r="AP92" s="787"/>
      <c r="AQ92" s="51"/>
    </row>
    <row r="93" spans="1:48" s="474" customFormat="1" ht="13.15" customHeight="1">
      <c r="A93" s="467" t="s">
        <v>2324</v>
      </c>
      <c r="B93" s="756" t="s">
        <v>2330</v>
      </c>
      <c r="C93" s="445" t="s">
        <v>2341</v>
      </c>
      <c r="D93" s="392" t="s">
        <v>255</v>
      </c>
      <c r="E93" s="445" t="s">
        <v>2373</v>
      </c>
      <c r="F93" s="802">
        <v>1</v>
      </c>
      <c r="G93" s="802"/>
      <c r="H93" s="490" t="s">
        <v>968</v>
      </c>
      <c r="I93" s="724" t="s">
        <v>1082</v>
      </c>
      <c r="J93" s="507"/>
      <c r="K93" s="490" t="s">
        <v>2001</v>
      </c>
      <c r="L93" s="803">
        <v>8.7409999999999997</v>
      </c>
      <c r="M93" s="505">
        <v>0</v>
      </c>
      <c r="N93" s="479">
        <v>39448</v>
      </c>
      <c r="O93" s="804">
        <f t="shared" si="5"/>
        <v>43.704999999999998</v>
      </c>
      <c r="P93" s="727" t="s">
        <v>1732</v>
      </c>
      <c r="Q93" s="845">
        <f>6.708+7.961</f>
        <v>14.669</v>
      </c>
      <c r="R93" s="478"/>
      <c r="S93" s="478"/>
      <c r="T93" s="880">
        <v>40500</v>
      </c>
      <c r="U93" s="479">
        <v>40178</v>
      </c>
      <c r="V93" s="478">
        <v>17.481999999999999</v>
      </c>
      <c r="W93" s="400">
        <f t="shared" si="4"/>
        <v>0.8390916371124586</v>
      </c>
      <c r="X93" s="503" t="s">
        <v>1732</v>
      </c>
      <c r="Y93" s="452" t="s">
        <v>1084</v>
      </c>
      <c r="Z93" s="391" t="s">
        <v>1623</v>
      </c>
      <c r="AA93" s="805">
        <v>40619</v>
      </c>
      <c r="AB93" s="805"/>
      <c r="AC93" s="805"/>
      <c r="AD93" s="805"/>
      <c r="AE93" s="805"/>
      <c r="AF93" s="805"/>
      <c r="AG93" s="480"/>
      <c r="AH93" s="505">
        <v>0</v>
      </c>
      <c r="AI93" s="478"/>
      <c r="AJ93" s="846"/>
      <c r="AK93" s="480"/>
      <c r="AL93" s="480"/>
      <c r="AM93" s="480"/>
      <c r="AN93" s="480"/>
      <c r="AO93" s="532" t="s">
        <v>1136</v>
      </c>
      <c r="AP93" s="787"/>
      <c r="AQ93" s="51"/>
    </row>
    <row r="94" spans="1:48" s="474" customFormat="1" ht="13.15" customHeight="1">
      <c r="A94" s="467" t="s">
        <v>2352</v>
      </c>
      <c r="B94" s="756" t="s">
        <v>2350</v>
      </c>
      <c r="C94" s="445" t="s">
        <v>2372</v>
      </c>
      <c r="D94" s="392" t="s">
        <v>255</v>
      </c>
      <c r="E94" s="445" t="s">
        <v>1699</v>
      </c>
      <c r="F94" s="802">
        <v>1</v>
      </c>
      <c r="G94" s="802"/>
      <c r="H94" s="490" t="s">
        <v>968</v>
      </c>
      <c r="I94" s="724" t="s">
        <v>1082</v>
      </c>
      <c r="J94" s="507"/>
      <c r="K94" s="490" t="s">
        <v>2001</v>
      </c>
      <c r="L94" s="803">
        <v>2.8650000000000002</v>
      </c>
      <c r="M94" s="505">
        <v>0</v>
      </c>
      <c r="N94" s="479">
        <v>39448</v>
      </c>
      <c r="O94" s="804">
        <f t="shared" si="5"/>
        <v>14.325000000000001</v>
      </c>
      <c r="P94" s="727" t="s">
        <v>1732</v>
      </c>
      <c r="Q94" s="845">
        <f>2.175+3.762</f>
        <v>5.9369999999999994</v>
      </c>
      <c r="R94" s="478"/>
      <c r="S94" s="478"/>
      <c r="T94" s="880">
        <v>40500</v>
      </c>
      <c r="U94" s="479">
        <v>40178</v>
      </c>
      <c r="V94" s="478">
        <v>5.73</v>
      </c>
      <c r="W94" s="400">
        <f t="shared" si="4"/>
        <v>1.0361256544502615</v>
      </c>
      <c r="X94" s="503" t="s">
        <v>1732</v>
      </c>
      <c r="Y94" s="452" t="s">
        <v>1084</v>
      </c>
      <c r="Z94" s="391" t="s">
        <v>1623</v>
      </c>
      <c r="AA94" s="805">
        <v>40623</v>
      </c>
      <c r="AB94" s="805"/>
      <c r="AC94" s="805"/>
      <c r="AD94" s="805"/>
      <c r="AE94" s="805"/>
      <c r="AF94" s="805"/>
      <c r="AG94" s="480"/>
      <c r="AH94" s="505">
        <v>0</v>
      </c>
      <c r="AI94" s="478"/>
      <c r="AJ94" s="846"/>
      <c r="AK94" s="480"/>
      <c r="AL94" s="480"/>
      <c r="AM94" s="480"/>
      <c r="AN94" s="480"/>
      <c r="AO94" s="480"/>
      <c r="AP94" s="787"/>
      <c r="AQ94" s="466"/>
    </row>
    <row r="95" spans="1:48" s="474" customFormat="1" ht="13.15" customHeight="1">
      <c r="A95" s="467" t="s">
        <v>2353</v>
      </c>
      <c r="B95" s="756" t="s">
        <v>2351</v>
      </c>
      <c r="C95" s="445" t="s">
        <v>2374</v>
      </c>
      <c r="D95" s="392" t="s">
        <v>255</v>
      </c>
      <c r="E95" s="445" t="s">
        <v>1666</v>
      </c>
      <c r="F95" s="802">
        <v>1</v>
      </c>
      <c r="G95" s="802"/>
      <c r="H95" s="490" t="s">
        <v>968</v>
      </c>
      <c r="I95" s="471" t="s">
        <v>1488</v>
      </c>
      <c r="J95" s="419" t="s">
        <v>1709</v>
      </c>
      <c r="K95" s="490" t="s">
        <v>2001</v>
      </c>
      <c r="L95" s="803">
        <v>6.5380000000000003</v>
      </c>
      <c r="M95" s="505">
        <v>0</v>
      </c>
      <c r="N95" s="479">
        <v>39814</v>
      </c>
      <c r="O95" s="804">
        <f t="shared" si="5"/>
        <v>32.69</v>
      </c>
      <c r="P95" s="727" t="s">
        <v>1084</v>
      </c>
      <c r="Q95" s="845">
        <f>4.091+4.51</f>
        <v>8.6009999999999991</v>
      </c>
      <c r="R95" s="478"/>
      <c r="S95" s="478"/>
      <c r="T95" s="880">
        <v>40623</v>
      </c>
      <c r="U95" s="479">
        <v>40543</v>
      </c>
      <c r="V95" s="478">
        <v>13.058087671232876</v>
      </c>
      <c r="W95" s="400">
        <f t="shared" si="4"/>
        <v>0.65867225098726401</v>
      </c>
      <c r="X95" s="503" t="s">
        <v>1658</v>
      </c>
      <c r="Y95" s="419" t="s">
        <v>1084</v>
      </c>
      <c r="Z95" s="532" t="s">
        <v>1084</v>
      </c>
      <c r="AA95" s="805">
        <v>40624</v>
      </c>
      <c r="AB95" s="805"/>
      <c r="AC95" s="805"/>
      <c r="AD95" s="805"/>
      <c r="AE95" s="805"/>
      <c r="AF95" s="805"/>
      <c r="AG95" s="480"/>
      <c r="AH95" s="505">
        <v>0.33</v>
      </c>
      <c r="AI95" s="842"/>
      <c r="AJ95" s="846"/>
      <c r="AK95" s="480"/>
      <c r="AL95" s="480"/>
      <c r="AM95" s="480"/>
      <c r="AN95" s="480"/>
      <c r="AO95" s="480"/>
      <c r="AP95" s="787"/>
      <c r="AQ95" s="782"/>
    </row>
    <row r="96" spans="1:48" s="474" customFormat="1" ht="13.15" customHeight="1">
      <c r="A96" s="467" t="s">
        <v>2354</v>
      </c>
      <c r="B96" s="756" t="s">
        <v>2355</v>
      </c>
      <c r="C96" s="445" t="s">
        <v>2375</v>
      </c>
      <c r="D96" s="392" t="s">
        <v>255</v>
      </c>
      <c r="E96" s="445" t="s">
        <v>2339</v>
      </c>
      <c r="F96" s="802">
        <v>1</v>
      </c>
      <c r="G96" s="802"/>
      <c r="H96" s="490" t="s">
        <v>968</v>
      </c>
      <c r="I96" s="471" t="s">
        <v>1488</v>
      </c>
      <c r="J96" s="420" t="s">
        <v>1709</v>
      </c>
      <c r="K96" s="490" t="s">
        <v>2001</v>
      </c>
      <c r="L96" s="803">
        <v>3.165</v>
      </c>
      <c r="M96" s="505">
        <v>0</v>
      </c>
      <c r="N96" s="479">
        <v>39448</v>
      </c>
      <c r="O96" s="804">
        <f t="shared" si="5"/>
        <v>15.824999999999999</v>
      </c>
      <c r="P96" s="727" t="s">
        <v>1084</v>
      </c>
      <c r="Q96" s="845">
        <f>3.165+2.666+2.036</f>
        <v>7.8669999999999991</v>
      </c>
      <c r="R96" s="478"/>
      <c r="S96" s="478"/>
      <c r="T96" s="880">
        <v>40623</v>
      </c>
      <c r="U96" s="479">
        <v>40543</v>
      </c>
      <c r="V96" s="478">
        <v>9.495000000000001</v>
      </c>
      <c r="W96" s="400">
        <f t="shared" si="4"/>
        <v>0.82854133754607673</v>
      </c>
      <c r="X96" s="503" t="s">
        <v>1658</v>
      </c>
      <c r="Y96" s="419" t="s">
        <v>1084</v>
      </c>
      <c r="Z96" s="532" t="s">
        <v>1084</v>
      </c>
      <c r="AA96" s="805">
        <v>40624</v>
      </c>
      <c r="AB96" s="805"/>
      <c r="AC96" s="805"/>
      <c r="AD96" s="805"/>
      <c r="AE96" s="805"/>
      <c r="AF96" s="805"/>
      <c r="AG96" s="802"/>
      <c r="AH96" s="803">
        <v>0.16</v>
      </c>
      <c r="AI96" s="1078"/>
      <c r="AJ96" s="916"/>
      <c r="AK96" s="802"/>
      <c r="AL96" s="802"/>
      <c r="AM96" s="802"/>
      <c r="AN96" s="802"/>
      <c r="AO96" s="480"/>
      <c r="AP96" s="787"/>
      <c r="AQ96" s="51"/>
    </row>
    <row r="97" spans="1:48" s="474" customFormat="1" ht="13.15" customHeight="1">
      <c r="A97" s="467" t="s">
        <v>2356</v>
      </c>
      <c r="B97" s="756" t="s">
        <v>2357</v>
      </c>
      <c r="C97" s="445" t="s">
        <v>2376</v>
      </c>
      <c r="D97" s="392" t="s">
        <v>255</v>
      </c>
      <c r="E97" s="445" t="s">
        <v>1672</v>
      </c>
      <c r="F97" s="802">
        <v>1</v>
      </c>
      <c r="G97" s="802"/>
      <c r="H97" s="490" t="s">
        <v>968</v>
      </c>
      <c r="I97" s="471" t="s">
        <v>1488</v>
      </c>
      <c r="J97" s="420" t="s">
        <v>1709</v>
      </c>
      <c r="K97" s="490" t="s">
        <v>2001</v>
      </c>
      <c r="L97" s="803">
        <v>1.82</v>
      </c>
      <c r="M97" s="505">
        <v>0</v>
      </c>
      <c r="N97" s="479">
        <v>39448</v>
      </c>
      <c r="O97" s="804">
        <f t="shared" si="5"/>
        <v>9.1</v>
      </c>
      <c r="P97" s="727" t="s">
        <v>1084</v>
      </c>
      <c r="Q97" s="845">
        <f>0.599+0.175+0.459</f>
        <v>1.2330000000000001</v>
      </c>
      <c r="R97" s="505"/>
      <c r="S97" s="505"/>
      <c r="T97" s="880">
        <v>40602</v>
      </c>
      <c r="U97" s="479">
        <v>40543</v>
      </c>
      <c r="V97" s="478">
        <v>5.46</v>
      </c>
      <c r="W97" s="400">
        <f t="shared" si="4"/>
        <v>0.22582417582417585</v>
      </c>
      <c r="X97" s="503" t="s">
        <v>1658</v>
      </c>
      <c r="Y97" s="419" t="s">
        <v>1084</v>
      </c>
      <c r="Z97" s="532" t="s">
        <v>1084</v>
      </c>
      <c r="AA97" s="805">
        <v>40624</v>
      </c>
      <c r="AB97" s="805"/>
      <c r="AC97" s="805"/>
      <c r="AD97" s="805"/>
      <c r="AE97" s="805"/>
      <c r="AF97" s="805"/>
      <c r="AG97" s="802"/>
      <c r="AH97" s="803">
        <v>0.12</v>
      </c>
      <c r="AI97" s="1078"/>
      <c r="AJ97" s="916"/>
      <c r="AK97" s="802"/>
      <c r="AL97" s="802"/>
      <c r="AM97" s="802"/>
      <c r="AN97" s="802"/>
      <c r="AO97" s="480"/>
      <c r="AP97" s="787"/>
      <c r="AQ97" s="51"/>
      <c r="AR97" s="820"/>
      <c r="AS97" s="820"/>
      <c r="AT97" s="820"/>
      <c r="AU97" s="820"/>
      <c r="AV97" s="464"/>
    </row>
    <row r="98" spans="1:48" s="474" customFormat="1" ht="13.15" customHeight="1">
      <c r="A98" s="467" t="s">
        <v>2358</v>
      </c>
      <c r="B98" s="756" t="s">
        <v>2359</v>
      </c>
      <c r="C98" s="445" t="s">
        <v>2377</v>
      </c>
      <c r="D98" s="392" t="s">
        <v>255</v>
      </c>
      <c r="E98" s="445" t="s">
        <v>1697</v>
      </c>
      <c r="F98" s="802">
        <v>1</v>
      </c>
      <c r="G98" s="802"/>
      <c r="H98" s="490" t="s">
        <v>968</v>
      </c>
      <c r="I98" s="471" t="s">
        <v>1488</v>
      </c>
      <c r="J98" s="419" t="s">
        <v>1709</v>
      </c>
      <c r="K98" s="490" t="s">
        <v>2001</v>
      </c>
      <c r="L98" s="803">
        <v>5.4610000000000003</v>
      </c>
      <c r="M98" s="505">
        <v>0</v>
      </c>
      <c r="N98" s="479">
        <v>39448</v>
      </c>
      <c r="O98" s="804">
        <f t="shared" si="5"/>
        <v>27.305</v>
      </c>
      <c r="P98" s="727" t="s">
        <v>1084</v>
      </c>
      <c r="Q98" s="845">
        <f>3.786+1.427+2.428</f>
        <v>7.641</v>
      </c>
      <c r="R98" s="478"/>
      <c r="S98" s="478"/>
      <c r="T98" s="880">
        <v>40602</v>
      </c>
      <c r="U98" s="479">
        <v>40543</v>
      </c>
      <c r="V98" s="478">
        <v>16.383000000000003</v>
      </c>
      <c r="W98" s="400">
        <f t="shared" si="4"/>
        <v>0.46639809558688877</v>
      </c>
      <c r="X98" s="503" t="s">
        <v>1658</v>
      </c>
      <c r="Y98" s="419" t="s">
        <v>1084</v>
      </c>
      <c r="Z98" s="532" t="s">
        <v>1084</v>
      </c>
      <c r="AA98" s="805">
        <v>40624</v>
      </c>
      <c r="AB98" s="805"/>
      <c r="AC98" s="805"/>
      <c r="AD98" s="805"/>
      <c r="AE98" s="805"/>
      <c r="AF98" s="805"/>
      <c r="AG98" s="480"/>
      <c r="AH98" s="505">
        <v>0.308</v>
      </c>
      <c r="AI98" s="842"/>
      <c r="AJ98" s="846"/>
      <c r="AK98" s="480"/>
      <c r="AL98" s="480"/>
      <c r="AM98" s="480"/>
      <c r="AN98" s="480"/>
      <c r="AO98" s="480"/>
      <c r="AP98" s="787"/>
      <c r="AQ98" s="51"/>
    </row>
    <row r="99" spans="1:48" s="474" customFormat="1">
      <c r="A99" s="467" t="s">
        <v>2360</v>
      </c>
      <c r="B99" s="756" t="s">
        <v>2361</v>
      </c>
      <c r="C99" s="445" t="s">
        <v>2378</v>
      </c>
      <c r="D99" s="392" t="s">
        <v>255</v>
      </c>
      <c r="E99" s="445" t="s">
        <v>2339</v>
      </c>
      <c r="F99" s="802">
        <v>1</v>
      </c>
      <c r="G99" s="802"/>
      <c r="H99" s="490" t="s">
        <v>968</v>
      </c>
      <c r="I99" s="471" t="s">
        <v>1488</v>
      </c>
      <c r="J99" s="419" t="s">
        <v>1709</v>
      </c>
      <c r="K99" s="490" t="s">
        <v>2001</v>
      </c>
      <c r="L99" s="803">
        <v>5.2789999999999999</v>
      </c>
      <c r="M99" s="505">
        <v>0</v>
      </c>
      <c r="N99" s="479">
        <v>39448</v>
      </c>
      <c r="O99" s="804">
        <f>1.488+4.783+4.295</f>
        <v>10.566000000000001</v>
      </c>
      <c r="P99" s="727" t="s">
        <v>1084</v>
      </c>
      <c r="Q99" s="845">
        <f>1.488+4.783+4.295</f>
        <v>10.566000000000001</v>
      </c>
      <c r="R99" s="478"/>
      <c r="S99" s="478"/>
      <c r="T99" s="880">
        <v>40602</v>
      </c>
      <c r="U99" s="479">
        <v>40543</v>
      </c>
      <c r="V99" s="478">
        <v>15.837</v>
      </c>
      <c r="W99" s="400">
        <f t="shared" si="4"/>
        <v>0.66717181284334159</v>
      </c>
      <c r="X99" s="503" t="s">
        <v>1658</v>
      </c>
      <c r="Y99" s="419" t="s">
        <v>1084</v>
      </c>
      <c r="Z99" s="532" t="s">
        <v>1084</v>
      </c>
      <c r="AA99" s="805">
        <v>40624</v>
      </c>
      <c r="AB99" s="805"/>
      <c r="AC99" s="805"/>
      <c r="AD99" s="805"/>
      <c r="AE99" s="805"/>
      <c r="AF99" s="805"/>
      <c r="AG99" s="480"/>
      <c r="AH99" s="505">
        <v>0.2</v>
      </c>
      <c r="AI99" s="842"/>
      <c r="AJ99" s="846"/>
      <c r="AK99" s="480"/>
      <c r="AL99" s="480"/>
      <c r="AM99" s="480"/>
      <c r="AN99" s="480"/>
      <c r="AO99" s="480"/>
      <c r="AP99" s="787"/>
      <c r="AQ99" s="51"/>
    </row>
    <row r="100" spans="1:48" s="474" customFormat="1" ht="14.25" customHeight="1">
      <c r="A100" s="467" t="s">
        <v>2362</v>
      </c>
      <c r="B100" s="756" t="s">
        <v>2363</v>
      </c>
      <c r="C100" s="445" t="s">
        <v>2379</v>
      </c>
      <c r="D100" s="392" t="s">
        <v>255</v>
      </c>
      <c r="E100" s="445" t="s">
        <v>1673</v>
      </c>
      <c r="F100" s="802">
        <v>1</v>
      </c>
      <c r="G100" s="802"/>
      <c r="H100" s="490" t="s">
        <v>968</v>
      </c>
      <c r="I100" s="471" t="s">
        <v>1488</v>
      </c>
      <c r="J100" s="419" t="s">
        <v>1709</v>
      </c>
      <c r="K100" s="490" t="s">
        <v>2001</v>
      </c>
      <c r="L100" s="803">
        <v>3.4609999999999999</v>
      </c>
      <c r="M100" s="505">
        <v>0</v>
      </c>
      <c r="N100" s="479">
        <v>39448</v>
      </c>
      <c r="O100" s="804">
        <f>L100*5</f>
        <v>17.305</v>
      </c>
      <c r="P100" s="727" t="s">
        <v>1084</v>
      </c>
      <c r="Q100" s="845">
        <f>1.363+0.557+1.72</f>
        <v>3.6399999999999997</v>
      </c>
      <c r="R100" s="478"/>
      <c r="S100" s="478"/>
      <c r="T100" s="880">
        <v>40602</v>
      </c>
      <c r="U100" s="479">
        <v>40543</v>
      </c>
      <c r="V100" s="478">
        <v>10.382999999999999</v>
      </c>
      <c r="W100" s="400">
        <f t="shared" si="4"/>
        <v>0.35057305210440143</v>
      </c>
      <c r="X100" s="503" t="s">
        <v>1658</v>
      </c>
      <c r="Y100" s="419" t="s">
        <v>1084</v>
      </c>
      <c r="Z100" s="532" t="s">
        <v>1084</v>
      </c>
      <c r="AA100" s="805">
        <v>40624</v>
      </c>
      <c r="AB100" s="805"/>
      <c r="AC100" s="805"/>
      <c r="AD100" s="805"/>
      <c r="AE100" s="805"/>
      <c r="AF100" s="805"/>
      <c r="AG100" s="480"/>
      <c r="AH100" s="505">
        <v>0.12</v>
      </c>
      <c r="AI100" s="842"/>
      <c r="AJ100" s="846"/>
      <c r="AK100" s="480"/>
      <c r="AL100" s="480"/>
      <c r="AM100" s="480"/>
      <c r="AN100" s="480"/>
      <c r="AO100" s="480"/>
      <c r="AP100" s="787"/>
      <c r="AQ100" s="51"/>
    </row>
    <row r="101" spans="1:48" s="474" customFormat="1" ht="13.5" customHeight="1">
      <c r="A101" s="467" t="s">
        <v>2364</v>
      </c>
      <c r="B101" s="756" t="s">
        <v>2365</v>
      </c>
      <c r="C101" s="445" t="s">
        <v>2380</v>
      </c>
      <c r="D101" s="392" t="s">
        <v>255</v>
      </c>
      <c r="E101" s="445" t="s">
        <v>2381</v>
      </c>
      <c r="F101" s="802">
        <v>1</v>
      </c>
      <c r="G101" s="802"/>
      <c r="H101" s="490" t="s">
        <v>968</v>
      </c>
      <c r="I101" s="471" t="s">
        <v>1488</v>
      </c>
      <c r="J101" s="420" t="s">
        <v>1709</v>
      </c>
      <c r="K101" s="490" t="s">
        <v>2001</v>
      </c>
      <c r="L101" s="803">
        <v>5.3879999999999999</v>
      </c>
      <c r="M101" s="505">
        <v>0</v>
      </c>
      <c r="N101" s="479">
        <v>39448</v>
      </c>
      <c r="O101" s="804">
        <f>L101*5</f>
        <v>26.939999999999998</v>
      </c>
      <c r="P101" s="727" t="s">
        <v>1084</v>
      </c>
      <c r="Q101" s="845">
        <f>3.545+3.305+3.893</f>
        <v>10.742999999999999</v>
      </c>
      <c r="R101" s="478"/>
      <c r="S101" s="478"/>
      <c r="T101" s="880">
        <v>40602</v>
      </c>
      <c r="U101" s="479">
        <v>40543</v>
      </c>
      <c r="V101" s="478">
        <v>16.164000000000001</v>
      </c>
      <c r="W101" s="400">
        <f t="shared" si="4"/>
        <v>0.66462509279881199</v>
      </c>
      <c r="X101" s="503" t="s">
        <v>1658</v>
      </c>
      <c r="Y101" s="419" t="s">
        <v>1084</v>
      </c>
      <c r="Z101" s="532" t="s">
        <v>1084</v>
      </c>
      <c r="AA101" s="805">
        <v>40624</v>
      </c>
      <c r="AB101" s="805"/>
      <c r="AC101" s="805"/>
      <c r="AD101" s="805"/>
      <c r="AE101" s="805"/>
      <c r="AF101" s="805"/>
      <c r="AG101" s="802"/>
      <c r="AH101" s="803">
        <v>0.308</v>
      </c>
      <c r="AI101" s="1078"/>
      <c r="AJ101" s="916"/>
      <c r="AK101" s="802"/>
      <c r="AL101" s="802"/>
      <c r="AM101" s="802"/>
      <c r="AN101" s="802"/>
      <c r="AO101" s="480"/>
      <c r="AP101" s="787"/>
      <c r="AQ101" s="51"/>
    </row>
    <row r="102" spans="1:48" s="474" customFormat="1">
      <c r="A102" s="467" t="s">
        <v>2366</v>
      </c>
      <c r="B102" s="756" t="s">
        <v>2367</v>
      </c>
      <c r="C102" s="445" t="s">
        <v>2382</v>
      </c>
      <c r="D102" s="392" t="s">
        <v>255</v>
      </c>
      <c r="E102" s="445" t="s">
        <v>2383</v>
      </c>
      <c r="F102" s="802">
        <v>1</v>
      </c>
      <c r="G102" s="802"/>
      <c r="H102" s="490" t="s">
        <v>968</v>
      </c>
      <c r="I102" s="471" t="s">
        <v>1488</v>
      </c>
      <c r="J102" s="420" t="s">
        <v>1709</v>
      </c>
      <c r="K102" s="490" t="s">
        <v>2001</v>
      </c>
      <c r="L102" s="803">
        <v>4.0049999999999999</v>
      </c>
      <c r="M102" s="505">
        <v>0</v>
      </c>
      <c r="N102" s="479">
        <v>39814</v>
      </c>
      <c r="O102" s="804">
        <f>L102*4</f>
        <v>16.02</v>
      </c>
      <c r="P102" s="727" t="s">
        <v>1084</v>
      </c>
      <c r="Q102" s="845">
        <f>0.288+1.094</f>
        <v>1.3820000000000001</v>
      </c>
      <c r="R102" s="478"/>
      <c r="S102" s="478"/>
      <c r="T102" s="880">
        <v>40602</v>
      </c>
      <c r="U102" s="479">
        <v>40543</v>
      </c>
      <c r="V102" s="478">
        <v>7.9990273972602735</v>
      </c>
      <c r="W102" s="400">
        <f t="shared" si="4"/>
        <v>0.17277100469406387</v>
      </c>
      <c r="X102" s="503" t="s">
        <v>1658</v>
      </c>
      <c r="Y102" s="419" t="s">
        <v>1084</v>
      </c>
      <c r="Z102" s="532" t="s">
        <v>1084</v>
      </c>
      <c r="AA102" s="805">
        <v>40624</v>
      </c>
      <c r="AB102" s="805"/>
      <c r="AC102" s="805"/>
      <c r="AD102" s="805"/>
      <c r="AE102" s="805"/>
      <c r="AF102" s="805"/>
      <c r="AG102" s="802"/>
      <c r="AH102" s="803">
        <v>0.19</v>
      </c>
      <c r="AI102" s="1078"/>
      <c r="AJ102" s="916"/>
      <c r="AK102" s="802"/>
      <c r="AL102" s="802"/>
      <c r="AM102" s="802"/>
      <c r="AN102" s="802"/>
      <c r="AO102" s="480"/>
      <c r="AP102" s="787"/>
      <c r="AQ102" s="51"/>
    </row>
    <row r="103" spans="1:48" s="474" customFormat="1" ht="14.25" customHeight="1">
      <c r="A103" s="467" t="s">
        <v>2368</v>
      </c>
      <c r="B103" s="756" t="s">
        <v>2369</v>
      </c>
      <c r="C103" s="445" t="s">
        <v>2384</v>
      </c>
      <c r="D103" s="392" t="s">
        <v>255</v>
      </c>
      <c r="E103" s="445" t="s">
        <v>1702</v>
      </c>
      <c r="F103" s="802">
        <v>1</v>
      </c>
      <c r="G103" s="802"/>
      <c r="H103" s="490" t="s">
        <v>968</v>
      </c>
      <c r="I103" s="471" t="s">
        <v>1488</v>
      </c>
      <c r="J103" s="419" t="s">
        <v>1709</v>
      </c>
      <c r="K103" s="490" t="s">
        <v>2001</v>
      </c>
      <c r="L103" s="803">
        <v>4.3689999999999998</v>
      </c>
      <c r="M103" s="505">
        <v>0</v>
      </c>
      <c r="N103" s="479">
        <v>39448</v>
      </c>
      <c r="O103" s="804">
        <f>L103*5</f>
        <v>21.844999999999999</v>
      </c>
      <c r="P103" s="727" t="s">
        <v>1084</v>
      </c>
      <c r="Q103" s="845">
        <f>1.19+0.766+0.486</f>
        <v>2.4420000000000002</v>
      </c>
      <c r="R103" s="478"/>
      <c r="S103" s="478"/>
      <c r="T103" s="880">
        <v>40602</v>
      </c>
      <c r="U103" s="479">
        <v>40543</v>
      </c>
      <c r="V103" s="478">
        <v>13.106999999999999</v>
      </c>
      <c r="W103" s="400">
        <f t="shared" si="4"/>
        <v>0.18631265735866334</v>
      </c>
      <c r="X103" s="503" t="s">
        <v>1658</v>
      </c>
      <c r="Y103" s="419" t="s">
        <v>1084</v>
      </c>
      <c r="Z103" s="532" t="s">
        <v>1084</v>
      </c>
      <c r="AA103" s="805">
        <v>40624</v>
      </c>
      <c r="AB103" s="805"/>
      <c r="AC103" s="805"/>
      <c r="AD103" s="805"/>
      <c r="AE103" s="805"/>
      <c r="AF103" s="805"/>
      <c r="AG103" s="802"/>
      <c r="AH103" s="803">
        <v>0.2</v>
      </c>
      <c r="AI103" s="1078"/>
      <c r="AJ103" s="916"/>
      <c r="AK103" s="802"/>
      <c r="AL103" s="802"/>
      <c r="AM103" s="802"/>
      <c r="AN103" s="802"/>
      <c r="AO103" s="480"/>
      <c r="AP103" s="787"/>
      <c r="AQ103" s="51"/>
    </row>
    <row r="104" spans="1:48" s="474" customFormat="1" ht="14.25" customHeight="1">
      <c r="A104" s="51" t="s">
        <v>193</v>
      </c>
      <c r="B104" s="59">
        <v>118</v>
      </c>
      <c r="C104" s="302" t="s">
        <v>223</v>
      </c>
      <c r="D104" s="55" t="s">
        <v>255</v>
      </c>
      <c r="E104" s="52" t="s">
        <v>224</v>
      </c>
      <c r="F104" s="54">
        <v>2</v>
      </c>
      <c r="G104" s="54"/>
      <c r="H104" s="61" t="s">
        <v>1712</v>
      </c>
      <c r="I104" s="68" t="s">
        <v>1489</v>
      </c>
      <c r="J104" s="330" t="s">
        <v>1710</v>
      </c>
      <c r="K104" s="58" t="s">
        <v>225</v>
      </c>
      <c r="L104" s="888">
        <v>33.441000000000003</v>
      </c>
      <c r="M104" s="92"/>
      <c r="N104" s="122">
        <v>39448</v>
      </c>
      <c r="O104" s="942">
        <f>L104*5</f>
        <v>167.20500000000001</v>
      </c>
      <c r="P104" s="51" t="s">
        <v>896</v>
      </c>
      <c r="Q104" s="981"/>
      <c r="R104" s="52"/>
      <c r="S104" s="52"/>
      <c r="T104" s="882"/>
      <c r="U104" s="854"/>
      <c r="V104" s="385"/>
      <c r="W104" s="383"/>
      <c r="X104" s="482"/>
      <c r="Y104" s="51" t="s">
        <v>416</v>
      </c>
      <c r="Z104" s="51" t="s">
        <v>1592</v>
      </c>
      <c r="AA104" s="944">
        <v>39520</v>
      </c>
      <c r="AB104" s="944"/>
      <c r="AC104" s="946"/>
      <c r="AD104" s="946"/>
      <c r="AE104" s="946"/>
      <c r="AF104" s="946"/>
      <c r="AG104" s="198"/>
      <c r="AH104" s="198">
        <v>0</v>
      </c>
      <c r="AI104" s="888"/>
      <c r="AJ104" s="198"/>
      <c r="AK104" s="198"/>
      <c r="AL104" s="198"/>
      <c r="AM104" s="198"/>
      <c r="AN104" s="198"/>
      <c r="AO104" s="52"/>
      <c r="AP104" s="463"/>
      <c r="AQ104" s="782"/>
    </row>
    <row r="105" spans="1:48" s="474" customFormat="1" ht="15.75" customHeight="1">
      <c r="A105" s="51" t="s">
        <v>1435</v>
      </c>
      <c r="B105" s="59">
        <v>213</v>
      </c>
      <c r="C105" s="436" t="s">
        <v>694</v>
      </c>
      <c r="D105" s="492" t="s">
        <v>563</v>
      </c>
      <c r="E105" s="436" t="s">
        <v>1415</v>
      </c>
      <c r="F105" s="492">
        <v>2</v>
      </c>
      <c r="G105" s="492"/>
      <c r="H105" s="324" t="s">
        <v>1593</v>
      </c>
      <c r="I105" s="860" t="s">
        <v>970</v>
      </c>
      <c r="J105" s="492" t="s">
        <v>970</v>
      </c>
      <c r="K105" s="867" t="s">
        <v>680</v>
      </c>
      <c r="L105" s="941">
        <v>34.256999999999998</v>
      </c>
      <c r="M105" s="438">
        <v>0</v>
      </c>
      <c r="N105" s="439">
        <v>39722</v>
      </c>
      <c r="O105" s="1017">
        <v>171.28700000000001</v>
      </c>
      <c r="P105" s="436" t="s">
        <v>728</v>
      </c>
      <c r="Q105" s="941"/>
      <c r="R105" s="440"/>
      <c r="S105" s="440"/>
      <c r="T105" s="893"/>
      <c r="U105" s="439"/>
      <c r="V105" s="440"/>
      <c r="W105" s="441"/>
      <c r="X105" s="843"/>
      <c r="Y105" s="436" t="s">
        <v>941</v>
      </c>
      <c r="Z105" s="442" t="s">
        <v>1417</v>
      </c>
      <c r="AA105" s="1023">
        <v>40200</v>
      </c>
      <c r="AB105" s="494"/>
      <c r="AC105" s="495"/>
      <c r="AD105" s="495"/>
      <c r="AE105" s="495"/>
      <c r="AF105" s="324" t="s">
        <v>1593</v>
      </c>
      <c r="AG105" s="1015"/>
      <c r="AH105" s="1015">
        <v>26</v>
      </c>
      <c r="AI105" s="941">
        <f>284389/AH105</f>
        <v>10938.038461538461</v>
      </c>
      <c r="AJ105" s="1026"/>
      <c r="AK105" s="1015"/>
      <c r="AL105" s="941"/>
      <c r="AM105" s="1015"/>
      <c r="AN105" s="1015"/>
      <c r="AO105" s="436"/>
      <c r="AP105" s="514"/>
      <c r="AQ105" s="782"/>
      <c r="AR105" s="820"/>
      <c r="AS105" s="820"/>
      <c r="AT105" s="820"/>
      <c r="AU105" s="820"/>
      <c r="AV105" s="464"/>
    </row>
    <row r="106" spans="1:48" s="474" customFormat="1" ht="12.75" customHeight="1">
      <c r="A106" s="51" t="s">
        <v>1353</v>
      </c>
      <c r="B106" s="489" t="s">
        <v>1354</v>
      </c>
      <c r="C106" s="391" t="s">
        <v>1355</v>
      </c>
      <c r="D106" s="392" t="s">
        <v>563</v>
      </c>
      <c r="E106" s="391" t="s">
        <v>1415</v>
      </c>
      <c r="F106" s="392">
        <v>1</v>
      </c>
      <c r="G106" s="392"/>
      <c r="H106" s="393" t="s">
        <v>968</v>
      </c>
      <c r="I106" s="394" t="s">
        <v>970</v>
      </c>
      <c r="J106" s="391" t="s">
        <v>970</v>
      </c>
      <c r="K106" s="393" t="s">
        <v>680</v>
      </c>
      <c r="L106" s="395">
        <f>O106/5</f>
        <v>38.288800000000002</v>
      </c>
      <c r="M106" s="396">
        <v>0</v>
      </c>
      <c r="N106" s="397">
        <v>39448</v>
      </c>
      <c r="O106" s="398">
        <f>107.953+83.491</f>
        <v>191.44400000000002</v>
      </c>
      <c r="P106" s="391" t="s">
        <v>1732</v>
      </c>
      <c r="Q106" s="395">
        <f>34.181+28.964+29.703+38.656</f>
        <v>131.50399999999999</v>
      </c>
      <c r="R106" s="399"/>
      <c r="S106" s="399"/>
      <c r="T106" s="879"/>
      <c r="U106" s="479">
        <v>40908</v>
      </c>
      <c r="V106" s="399">
        <v>153.15520000000001</v>
      </c>
      <c r="W106" s="400">
        <f t="shared" ref="W106:W113" si="6">Q106/V106</f>
        <v>0.85863228933787417</v>
      </c>
      <c r="X106" s="545" t="s">
        <v>1084</v>
      </c>
      <c r="Y106" s="419" t="s">
        <v>416</v>
      </c>
      <c r="Z106" s="391" t="s">
        <v>855</v>
      </c>
      <c r="AA106" s="402">
        <v>40044</v>
      </c>
      <c r="AB106" s="402"/>
      <c r="AC106" s="401">
        <v>39079</v>
      </c>
      <c r="AD106" s="401">
        <v>38422</v>
      </c>
      <c r="AE106" s="401"/>
      <c r="AF106" s="401"/>
      <c r="AG106" s="390"/>
      <c r="AH106" s="390">
        <v>14</v>
      </c>
      <c r="AI106" s="395">
        <f>(20659+15978)/AH106</f>
        <v>2616.9285714285716</v>
      </c>
      <c r="AJ106" s="827"/>
      <c r="AK106" s="390"/>
      <c r="AL106" s="390"/>
      <c r="AM106" s="390"/>
      <c r="AN106" s="390"/>
      <c r="AO106" s="391" t="s">
        <v>1356</v>
      </c>
      <c r="AP106" s="514"/>
      <c r="AQ106" s="782"/>
    </row>
    <row r="107" spans="1:48" s="474" customFormat="1" ht="15.75" customHeight="1">
      <c r="A107" s="51" t="s">
        <v>931</v>
      </c>
      <c r="B107" s="489" t="s">
        <v>935</v>
      </c>
      <c r="C107" s="391" t="s">
        <v>939</v>
      </c>
      <c r="D107" s="392" t="s">
        <v>563</v>
      </c>
      <c r="E107" s="391" t="s">
        <v>942</v>
      </c>
      <c r="F107" s="392">
        <v>1</v>
      </c>
      <c r="G107" s="392"/>
      <c r="H107" s="393" t="s">
        <v>968</v>
      </c>
      <c r="I107" s="394" t="s">
        <v>1082</v>
      </c>
      <c r="J107" s="392" t="s">
        <v>1357</v>
      </c>
      <c r="K107" s="490" t="s">
        <v>2001</v>
      </c>
      <c r="L107" s="390">
        <f>O107/5</f>
        <v>4.2200000000000006</v>
      </c>
      <c r="M107" s="396">
        <v>0</v>
      </c>
      <c r="N107" s="397">
        <v>39448</v>
      </c>
      <c r="O107" s="398">
        <v>21.1</v>
      </c>
      <c r="P107" s="391" t="s">
        <v>700</v>
      </c>
      <c r="Q107" s="395">
        <f>3.295+3.222+3.365+3.002</f>
        <v>12.884</v>
      </c>
      <c r="R107" s="399"/>
      <c r="S107" s="399"/>
      <c r="T107" s="879"/>
      <c r="U107" s="479">
        <v>40908</v>
      </c>
      <c r="V107" s="399">
        <v>16.880000000000003</v>
      </c>
      <c r="W107" s="400">
        <f t="shared" si="6"/>
        <v>0.7632701421800947</v>
      </c>
      <c r="X107" s="545" t="s">
        <v>1084</v>
      </c>
      <c r="Y107" s="391" t="s">
        <v>941</v>
      </c>
      <c r="Z107" s="391" t="s">
        <v>940</v>
      </c>
      <c r="AA107" s="402">
        <v>40063</v>
      </c>
      <c r="AB107" s="402"/>
      <c r="AC107" s="401">
        <v>38603</v>
      </c>
      <c r="AD107" s="401">
        <v>38251</v>
      </c>
      <c r="AE107" s="401"/>
      <c r="AF107" s="401"/>
      <c r="AG107" s="390"/>
      <c r="AH107" s="390">
        <v>0</v>
      </c>
      <c r="AI107" s="395"/>
      <c r="AJ107" s="358">
        <v>0.98</v>
      </c>
      <c r="AK107" s="432">
        <f>AJ107*1000/L107</f>
        <v>232.22748815165872</v>
      </c>
      <c r="AL107" s="358"/>
      <c r="AM107" s="390"/>
      <c r="AN107" s="390"/>
      <c r="AO107" s="391" t="s">
        <v>278</v>
      </c>
      <c r="AP107" s="514"/>
      <c r="AQ107" s="51"/>
    </row>
    <row r="108" spans="1:48" s="474" customFormat="1" ht="27" customHeight="1">
      <c r="A108" s="51" t="s">
        <v>932</v>
      </c>
      <c r="B108" s="489" t="s">
        <v>936</v>
      </c>
      <c r="C108" s="391" t="s">
        <v>943</v>
      </c>
      <c r="D108" s="392" t="s">
        <v>563</v>
      </c>
      <c r="E108" s="391" t="s">
        <v>945</v>
      </c>
      <c r="F108" s="392">
        <v>1</v>
      </c>
      <c r="G108" s="392"/>
      <c r="H108" s="393" t="s">
        <v>968</v>
      </c>
      <c r="I108" s="394" t="s">
        <v>970</v>
      </c>
      <c r="J108" s="392" t="s">
        <v>970</v>
      </c>
      <c r="K108" s="490" t="s">
        <v>2001</v>
      </c>
      <c r="L108" s="395">
        <f>O108/5</f>
        <v>53.952999999999996</v>
      </c>
      <c r="M108" s="396">
        <v>0</v>
      </c>
      <c r="N108" s="397">
        <v>39448</v>
      </c>
      <c r="O108" s="398">
        <v>269.76499999999999</v>
      </c>
      <c r="P108" s="452" t="s">
        <v>1084</v>
      </c>
      <c r="Q108" s="395">
        <f>55.804+40.267+42.356+53.73</f>
        <v>192.15699999999998</v>
      </c>
      <c r="R108" s="399"/>
      <c r="S108" s="399"/>
      <c r="T108" s="879"/>
      <c r="U108" s="479">
        <v>40908</v>
      </c>
      <c r="V108" s="399">
        <v>215.81199999999998</v>
      </c>
      <c r="W108" s="400">
        <f t="shared" si="6"/>
        <v>0.89039071043315476</v>
      </c>
      <c r="X108" s="545" t="s">
        <v>1084</v>
      </c>
      <c r="Y108" s="391" t="s">
        <v>941</v>
      </c>
      <c r="Z108" s="391" t="s">
        <v>944</v>
      </c>
      <c r="AA108" s="402">
        <v>40063</v>
      </c>
      <c r="AB108" s="402"/>
      <c r="AC108" s="401">
        <v>37984</v>
      </c>
      <c r="AD108" s="401">
        <v>37683</v>
      </c>
      <c r="AE108" s="401"/>
      <c r="AF108" s="401"/>
      <c r="AG108" s="390"/>
      <c r="AH108" s="390">
        <v>20</v>
      </c>
      <c r="AI108" s="395">
        <f>50060/AH108</f>
        <v>2503</v>
      </c>
      <c r="AJ108" s="390">
        <v>21</v>
      </c>
      <c r="AK108" s="432">
        <f>AJ108*1000/L108</f>
        <v>389.22766111244977</v>
      </c>
      <c r="AL108" s="432">
        <f>AJ108*1000/AH108</f>
        <v>1050</v>
      </c>
      <c r="AM108" s="390"/>
      <c r="AN108" s="390"/>
      <c r="AO108" s="391" t="s">
        <v>279</v>
      </c>
      <c r="AP108" s="514"/>
      <c r="AQ108" s="51"/>
    </row>
    <row r="109" spans="1:48" s="474" customFormat="1" ht="25.5">
      <c r="A109" s="51" t="s">
        <v>933</v>
      </c>
      <c r="B109" s="489" t="s">
        <v>937</v>
      </c>
      <c r="C109" s="391" t="s">
        <v>946</v>
      </c>
      <c r="D109" s="392" t="s">
        <v>563</v>
      </c>
      <c r="E109" s="391" t="s">
        <v>942</v>
      </c>
      <c r="F109" s="392">
        <v>1</v>
      </c>
      <c r="G109" s="392"/>
      <c r="H109" s="393" t="s">
        <v>968</v>
      </c>
      <c r="I109" s="394" t="s">
        <v>1082</v>
      </c>
      <c r="J109" s="392" t="s">
        <v>1357</v>
      </c>
      <c r="K109" s="490" t="s">
        <v>2001</v>
      </c>
      <c r="L109" s="390">
        <v>2.9460000000000002</v>
      </c>
      <c r="M109" s="396">
        <v>0</v>
      </c>
      <c r="N109" s="397">
        <v>39448</v>
      </c>
      <c r="O109" s="398">
        <f>L109*5</f>
        <v>14.73</v>
      </c>
      <c r="P109" s="391" t="s">
        <v>700</v>
      </c>
      <c r="Q109" s="395">
        <f>5.223+4.689+4.861+4.169</f>
        <v>18.942</v>
      </c>
      <c r="R109" s="399"/>
      <c r="S109" s="399"/>
      <c r="T109" s="879"/>
      <c r="U109" s="479">
        <v>40908</v>
      </c>
      <c r="V109" s="399">
        <v>11.784000000000001</v>
      </c>
      <c r="W109" s="400">
        <f t="shared" si="6"/>
        <v>1.6074338085539714</v>
      </c>
      <c r="X109" s="545" t="s">
        <v>1084</v>
      </c>
      <c r="Y109" s="391" t="s">
        <v>941</v>
      </c>
      <c r="Z109" s="391" t="s">
        <v>940</v>
      </c>
      <c r="AA109" s="402">
        <v>40063</v>
      </c>
      <c r="AB109" s="402"/>
      <c r="AC109" s="401">
        <v>38603</v>
      </c>
      <c r="AD109" s="401">
        <v>38251</v>
      </c>
      <c r="AE109" s="401"/>
      <c r="AF109" s="401"/>
      <c r="AG109" s="390"/>
      <c r="AH109" s="390">
        <v>0</v>
      </c>
      <c r="AI109" s="395"/>
      <c r="AJ109" s="358">
        <v>0.98</v>
      </c>
      <c r="AK109" s="432">
        <f>AJ109*1000/L109</f>
        <v>332.65444670739987</v>
      </c>
      <c r="AL109" s="358"/>
      <c r="AM109" s="390"/>
      <c r="AN109" s="390"/>
      <c r="AO109" s="391" t="s">
        <v>277</v>
      </c>
      <c r="AP109" s="514"/>
      <c r="AQ109" s="51"/>
      <c r="AR109" s="851"/>
      <c r="AS109" s="851"/>
      <c r="AT109" s="851"/>
      <c r="AU109" s="851"/>
      <c r="AV109" s="851"/>
    </row>
    <row r="110" spans="1:48" s="474" customFormat="1" ht="25.5">
      <c r="A110" s="51" t="s">
        <v>934</v>
      </c>
      <c r="B110" s="489" t="s">
        <v>938</v>
      </c>
      <c r="C110" s="391" t="s">
        <v>947</v>
      </c>
      <c r="D110" s="392" t="s">
        <v>563</v>
      </c>
      <c r="E110" s="391" t="s">
        <v>949</v>
      </c>
      <c r="F110" s="392">
        <v>1</v>
      </c>
      <c r="G110" s="392"/>
      <c r="H110" s="393" t="s">
        <v>968</v>
      </c>
      <c r="I110" s="394" t="s">
        <v>1082</v>
      </c>
      <c r="J110" s="392" t="s">
        <v>1357</v>
      </c>
      <c r="K110" s="490" t="s">
        <v>2001</v>
      </c>
      <c r="L110" s="395">
        <f>O110/5</f>
        <v>14.459999999999999</v>
      </c>
      <c r="M110" s="396">
        <v>0</v>
      </c>
      <c r="N110" s="397">
        <v>39448</v>
      </c>
      <c r="O110" s="398">
        <v>72.3</v>
      </c>
      <c r="P110" s="391" t="s">
        <v>700</v>
      </c>
      <c r="Q110" s="395">
        <f>14.953+15.156+15.421+14.532</f>
        <v>60.061999999999998</v>
      </c>
      <c r="R110" s="399"/>
      <c r="S110" s="399"/>
      <c r="T110" s="879"/>
      <c r="U110" s="479">
        <v>40908</v>
      </c>
      <c r="V110" s="399">
        <v>57.839999999999996</v>
      </c>
      <c r="W110" s="400">
        <f t="shared" si="6"/>
        <v>1.0384163208852006</v>
      </c>
      <c r="X110" s="545" t="s">
        <v>1084</v>
      </c>
      <c r="Y110" s="391" t="s">
        <v>941</v>
      </c>
      <c r="Z110" s="391" t="s">
        <v>948</v>
      </c>
      <c r="AA110" s="402">
        <v>40063</v>
      </c>
      <c r="AB110" s="402"/>
      <c r="AC110" s="401">
        <v>37915</v>
      </c>
      <c r="AD110" s="401">
        <v>37631</v>
      </c>
      <c r="AE110" s="401"/>
      <c r="AF110" s="401"/>
      <c r="AG110" s="390"/>
      <c r="AH110" s="390"/>
      <c r="AI110" s="395"/>
      <c r="AJ110" s="390">
        <v>1.899</v>
      </c>
      <c r="AK110" s="432">
        <f>AJ110*1000/L110</f>
        <v>131.32780082987551</v>
      </c>
      <c r="AL110" s="390"/>
      <c r="AM110" s="390"/>
      <c r="AN110" s="390"/>
      <c r="AO110" s="391" t="s">
        <v>276</v>
      </c>
      <c r="AP110" s="514"/>
      <c r="AQ110" s="51"/>
    </row>
    <row r="111" spans="1:48" s="474" customFormat="1" ht="12.75" customHeight="1">
      <c r="A111" s="51" t="s">
        <v>913</v>
      </c>
      <c r="B111" s="828" t="s">
        <v>204</v>
      </c>
      <c r="C111" s="391" t="s">
        <v>205</v>
      </c>
      <c r="D111" s="392" t="s">
        <v>563</v>
      </c>
      <c r="E111" s="391" t="s">
        <v>1565</v>
      </c>
      <c r="F111" s="392">
        <v>1</v>
      </c>
      <c r="G111" s="449" t="s">
        <v>2782</v>
      </c>
      <c r="H111" s="393" t="s">
        <v>968</v>
      </c>
      <c r="I111" s="394" t="s">
        <v>970</v>
      </c>
      <c r="J111" s="392" t="s">
        <v>970</v>
      </c>
      <c r="K111" s="393" t="s">
        <v>680</v>
      </c>
      <c r="L111" s="395">
        <v>66.025000000000006</v>
      </c>
      <c r="M111" s="396">
        <v>0</v>
      </c>
      <c r="N111" s="397">
        <v>39448</v>
      </c>
      <c r="O111" s="398">
        <f>L111*5</f>
        <v>330.125</v>
      </c>
      <c r="P111" s="391" t="s">
        <v>1732</v>
      </c>
      <c r="Q111" s="395">
        <f>70.152+49.036+50.581</f>
        <v>169.76900000000001</v>
      </c>
      <c r="R111" s="399"/>
      <c r="S111" s="399"/>
      <c r="T111" s="879"/>
      <c r="U111" s="479">
        <v>40908</v>
      </c>
      <c r="V111" s="399">
        <v>264.10000000000002</v>
      </c>
      <c r="W111" s="400">
        <f t="shared" si="6"/>
        <v>0.64282090117379775</v>
      </c>
      <c r="X111" s="545" t="s">
        <v>1084</v>
      </c>
      <c r="Y111" s="391" t="s">
        <v>1115</v>
      </c>
      <c r="Z111" s="391" t="s">
        <v>1116</v>
      </c>
      <c r="AA111" s="495">
        <v>39109</v>
      </c>
      <c r="AB111" s="401">
        <v>40168</v>
      </c>
      <c r="AC111" s="401">
        <v>39034</v>
      </c>
      <c r="AD111" s="401">
        <v>40141</v>
      </c>
      <c r="AE111" s="401"/>
      <c r="AF111" s="401"/>
      <c r="AG111" s="390"/>
      <c r="AH111" s="390">
        <v>24</v>
      </c>
      <c r="AI111" s="395">
        <f>28438.9/AH111</f>
        <v>1184.9541666666667</v>
      </c>
      <c r="AJ111" s="827"/>
      <c r="AK111" s="390"/>
      <c r="AL111" s="395"/>
      <c r="AM111" s="390"/>
      <c r="AN111" s="390"/>
      <c r="AO111" s="391"/>
      <c r="AP111" s="783">
        <v>29.353000000000002</v>
      </c>
      <c r="AQ111" s="467" t="s">
        <v>2832</v>
      </c>
    </row>
    <row r="112" spans="1:48" s="474" customFormat="1" ht="14.25" customHeight="1">
      <c r="A112" s="51" t="s">
        <v>262</v>
      </c>
      <c r="B112" s="489" t="s">
        <v>1817</v>
      </c>
      <c r="C112" s="445" t="s">
        <v>1841</v>
      </c>
      <c r="D112" s="449" t="s">
        <v>563</v>
      </c>
      <c r="E112" s="419" t="s">
        <v>1837</v>
      </c>
      <c r="F112" s="420">
        <v>1</v>
      </c>
      <c r="G112" s="449" t="s">
        <v>3928</v>
      </c>
      <c r="H112" s="421" t="s">
        <v>968</v>
      </c>
      <c r="I112" s="455" t="s">
        <v>970</v>
      </c>
      <c r="J112" s="725" t="s">
        <v>970</v>
      </c>
      <c r="K112" s="421" t="s">
        <v>680</v>
      </c>
      <c r="L112" s="422">
        <v>18.186900000000001</v>
      </c>
      <c r="M112" s="423">
        <v>0</v>
      </c>
      <c r="N112" s="444">
        <v>40179</v>
      </c>
      <c r="O112" s="424">
        <f>L112*3</f>
        <v>54.560700000000004</v>
      </c>
      <c r="P112" s="419" t="s">
        <v>1732</v>
      </c>
      <c r="Q112" s="422">
        <f>13.775+19.867</f>
        <v>33.642000000000003</v>
      </c>
      <c r="R112" s="425"/>
      <c r="S112" s="425"/>
      <c r="T112" s="881"/>
      <c r="U112" s="479">
        <v>40908</v>
      </c>
      <c r="V112" s="425">
        <v>36.323972876712332</v>
      </c>
      <c r="W112" s="400">
        <f t="shared" si="6"/>
        <v>0.92616521089762815</v>
      </c>
      <c r="X112" s="545" t="s">
        <v>1084</v>
      </c>
      <c r="Y112" s="419" t="s">
        <v>416</v>
      </c>
      <c r="Z112" s="419" t="s">
        <v>1417</v>
      </c>
      <c r="AA112" s="431">
        <v>39043</v>
      </c>
      <c r="AB112" s="431">
        <v>40297</v>
      </c>
      <c r="AC112" s="431">
        <v>39923</v>
      </c>
      <c r="AD112" s="431">
        <v>39090</v>
      </c>
      <c r="AE112" s="431"/>
      <c r="AF112" s="431"/>
      <c r="AG112" s="432"/>
      <c r="AH112" s="432">
        <f>3*2.3</f>
        <v>6.8999999999999995</v>
      </c>
      <c r="AI112" s="422">
        <f>16510/AH112</f>
        <v>2392.753623188406</v>
      </c>
      <c r="AJ112" s="827"/>
      <c r="AK112" s="432"/>
      <c r="AL112" s="432"/>
      <c r="AM112" s="432"/>
      <c r="AN112" s="432"/>
      <c r="AO112" s="419"/>
      <c r="AP112" s="463"/>
      <c r="AQ112" s="51"/>
    </row>
    <row r="113" spans="1:48" s="474" customFormat="1">
      <c r="A113" s="466" t="s">
        <v>1989</v>
      </c>
      <c r="B113" s="468" t="s">
        <v>1983</v>
      </c>
      <c r="C113" s="480" t="s">
        <v>1987</v>
      </c>
      <c r="D113" s="449" t="s">
        <v>563</v>
      </c>
      <c r="E113" s="419" t="s">
        <v>2006</v>
      </c>
      <c r="F113" s="420">
        <v>1</v>
      </c>
      <c r="G113" s="420"/>
      <c r="H113" s="421" t="s">
        <v>968</v>
      </c>
      <c r="I113" s="455" t="s">
        <v>1488</v>
      </c>
      <c r="J113" s="420" t="s">
        <v>450</v>
      </c>
      <c r="K113" s="421" t="s">
        <v>2007</v>
      </c>
      <c r="L113" s="422">
        <f>O113/5</f>
        <v>17.703200000000002</v>
      </c>
      <c r="M113" s="423">
        <v>0</v>
      </c>
      <c r="N113" s="479">
        <v>39814</v>
      </c>
      <c r="O113" s="424">
        <v>88.516000000000005</v>
      </c>
      <c r="P113" s="727" t="s">
        <v>1731</v>
      </c>
      <c r="Q113" s="422">
        <f>21.374+35.781</f>
        <v>57.155000000000001</v>
      </c>
      <c r="R113" s="425"/>
      <c r="S113" s="425"/>
      <c r="T113" s="881"/>
      <c r="U113" s="444">
        <v>41274</v>
      </c>
      <c r="V113" s="425">
        <v>70.81280000000001</v>
      </c>
      <c r="W113" s="400">
        <f t="shared" si="6"/>
        <v>0.80712808983686557</v>
      </c>
      <c r="X113" s="545" t="s">
        <v>1084</v>
      </c>
      <c r="Y113" s="445" t="s">
        <v>1297</v>
      </c>
      <c r="Z113" s="445" t="s">
        <v>855</v>
      </c>
      <c r="AA113" s="430">
        <v>40401</v>
      </c>
      <c r="AB113" s="430"/>
      <c r="AC113" s="911">
        <v>38961</v>
      </c>
      <c r="AD113" s="431">
        <v>38547</v>
      </c>
      <c r="AE113" s="431"/>
      <c r="AF113" s="431"/>
      <c r="AG113" s="432"/>
      <c r="AH113" s="432"/>
      <c r="AI113" s="422"/>
      <c r="AJ113" s="432"/>
      <c r="AK113" s="432"/>
      <c r="AL113" s="432"/>
      <c r="AM113" s="432"/>
      <c r="AN113" s="432"/>
      <c r="AO113" s="419"/>
      <c r="AP113" s="783">
        <v>12.693</v>
      </c>
      <c r="AQ113" s="467" t="s">
        <v>2831</v>
      </c>
    </row>
    <row r="114" spans="1:48" s="474" customFormat="1" ht="13.5" customHeight="1">
      <c r="A114" s="467" t="s">
        <v>1992</v>
      </c>
      <c r="B114" s="468" t="s">
        <v>1993</v>
      </c>
      <c r="C114" s="445" t="s">
        <v>1994</v>
      </c>
      <c r="D114" s="449" t="s">
        <v>563</v>
      </c>
      <c r="E114" s="419" t="s">
        <v>1996</v>
      </c>
      <c r="F114" s="420">
        <v>1</v>
      </c>
      <c r="G114" s="420"/>
      <c r="H114" s="421" t="s">
        <v>968</v>
      </c>
      <c r="I114" s="455" t="s">
        <v>970</v>
      </c>
      <c r="J114" s="449" t="s">
        <v>970</v>
      </c>
      <c r="K114" s="490" t="s">
        <v>2001</v>
      </c>
      <c r="L114" s="422">
        <v>145.97900000000001</v>
      </c>
      <c r="M114" s="423">
        <v>0</v>
      </c>
      <c r="N114" s="479">
        <v>40725</v>
      </c>
      <c r="O114" s="424">
        <v>219.44</v>
      </c>
      <c r="P114" s="727" t="s">
        <v>700</v>
      </c>
      <c r="Q114" s="422"/>
      <c r="R114" s="419"/>
      <c r="S114" s="419"/>
      <c r="T114" s="881"/>
      <c r="U114" s="444"/>
      <c r="V114" s="425"/>
      <c r="W114" s="400"/>
      <c r="X114" s="543"/>
      <c r="Y114" s="419" t="s">
        <v>1997</v>
      </c>
      <c r="Z114" s="419" t="s">
        <v>2005</v>
      </c>
      <c r="AA114" s="430">
        <v>40406</v>
      </c>
      <c r="AB114" s="430"/>
      <c r="AC114" s="431">
        <v>37858</v>
      </c>
      <c r="AD114" s="431">
        <v>38135</v>
      </c>
      <c r="AE114" s="431"/>
      <c r="AF114" s="431"/>
      <c r="AG114" s="432"/>
      <c r="AH114" s="432">
        <v>50.6</v>
      </c>
      <c r="AI114" s="422">
        <f>16510/AH114</f>
        <v>326.28458498023713</v>
      </c>
      <c r="AJ114" s="827"/>
      <c r="AK114" s="432"/>
      <c r="AL114" s="432"/>
      <c r="AM114" s="432"/>
      <c r="AN114" s="432"/>
      <c r="AO114" s="419"/>
      <c r="AP114" s="463"/>
      <c r="AQ114" s="51"/>
    </row>
    <row r="115" spans="1:48" s="474" customFormat="1">
      <c r="A115" s="467" t="s">
        <v>2230</v>
      </c>
      <c r="B115" s="801" t="s">
        <v>2241</v>
      </c>
      <c r="C115" s="445" t="s">
        <v>2242</v>
      </c>
      <c r="D115" s="449" t="s">
        <v>563</v>
      </c>
      <c r="E115" s="445" t="s">
        <v>1415</v>
      </c>
      <c r="F115" s="802">
        <v>1</v>
      </c>
      <c r="G115" s="802"/>
      <c r="H115" s="490" t="s">
        <v>968</v>
      </c>
      <c r="I115" s="724" t="s">
        <v>970</v>
      </c>
      <c r="J115" s="552" t="s">
        <v>970</v>
      </c>
      <c r="K115" s="844" t="s">
        <v>680</v>
      </c>
      <c r="L115" s="845">
        <v>25.396599999999999</v>
      </c>
      <c r="M115" s="505">
        <v>0</v>
      </c>
      <c r="N115" s="479">
        <v>39448</v>
      </c>
      <c r="O115" s="804">
        <f>L115*5</f>
        <v>126.983</v>
      </c>
      <c r="P115" s="419" t="s">
        <v>1732</v>
      </c>
      <c r="Q115" s="845">
        <f>18.412+18.73</f>
        <v>37.141999999999996</v>
      </c>
      <c r="R115" s="478"/>
      <c r="S115" s="478"/>
      <c r="T115" s="880"/>
      <c r="U115" s="444">
        <v>40908</v>
      </c>
      <c r="V115" s="425">
        <v>101.5864</v>
      </c>
      <c r="W115" s="400">
        <f>Q115/V115</f>
        <v>0.36561980737579042</v>
      </c>
      <c r="X115" s="545" t="s">
        <v>1084</v>
      </c>
      <c r="Y115" s="445" t="s">
        <v>269</v>
      </c>
      <c r="Z115" s="532" t="s">
        <v>2249</v>
      </c>
      <c r="AA115" s="805">
        <v>40562</v>
      </c>
      <c r="AB115" s="805"/>
      <c r="AC115" s="805">
        <v>40518</v>
      </c>
      <c r="AD115" s="805">
        <v>39197</v>
      </c>
      <c r="AE115" s="805"/>
      <c r="AF115" s="805"/>
      <c r="AG115" s="802"/>
      <c r="AH115" s="803">
        <v>9</v>
      </c>
      <c r="AI115" s="845">
        <f>23055/AH115</f>
        <v>2561.6666666666665</v>
      </c>
      <c r="AJ115" s="916"/>
      <c r="AK115" s="802"/>
      <c r="AL115" s="802"/>
      <c r="AM115" s="802"/>
      <c r="AN115" s="802"/>
      <c r="AO115" s="480"/>
      <c r="AP115" s="787"/>
      <c r="AQ115" s="466"/>
      <c r="AR115" s="464"/>
      <c r="AS115" s="464"/>
      <c r="AT115" s="464"/>
      <c r="AU115" s="464"/>
      <c r="AV115" s="464"/>
    </row>
    <row r="116" spans="1:48" s="474" customFormat="1">
      <c r="A116" s="467" t="s">
        <v>2246</v>
      </c>
      <c r="B116" s="801" t="s">
        <v>2247</v>
      </c>
      <c r="C116" s="445" t="s">
        <v>2248</v>
      </c>
      <c r="D116" s="449" t="s">
        <v>563</v>
      </c>
      <c r="E116" s="445" t="s">
        <v>945</v>
      </c>
      <c r="F116" s="802">
        <v>1</v>
      </c>
      <c r="G116" s="802"/>
      <c r="H116" s="490" t="s">
        <v>968</v>
      </c>
      <c r="I116" s="724" t="s">
        <v>971</v>
      </c>
      <c r="J116" s="552" t="s">
        <v>1364</v>
      </c>
      <c r="K116" s="844" t="s">
        <v>839</v>
      </c>
      <c r="L116" s="803">
        <v>8.8676999999999992</v>
      </c>
      <c r="M116" s="505">
        <v>0</v>
      </c>
      <c r="N116" s="479">
        <v>39753</v>
      </c>
      <c r="O116" s="804">
        <v>36.945</v>
      </c>
      <c r="P116" s="419" t="s">
        <v>1732</v>
      </c>
      <c r="Q116" s="845">
        <f>12.299+9.189</f>
        <v>21.488</v>
      </c>
      <c r="R116" s="478"/>
      <c r="S116" s="478"/>
      <c r="T116" s="880"/>
      <c r="U116" s="444">
        <v>40908</v>
      </c>
      <c r="V116" s="425">
        <v>28.060804109589039</v>
      </c>
      <c r="W116" s="400">
        <f>Q116/V116</f>
        <v>0.7657656536170695</v>
      </c>
      <c r="X116" s="545" t="s">
        <v>1084</v>
      </c>
      <c r="Y116" s="391" t="s">
        <v>416</v>
      </c>
      <c r="Z116" s="532" t="s">
        <v>2249</v>
      </c>
      <c r="AA116" s="805">
        <v>40571</v>
      </c>
      <c r="AB116" s="805"/>
      <c r="AC116" s="805">
        <v>40253</v>
      </c>
      <c r="AD116" s="805">
        <v>39472</v>
      </c>
      <c r="AE116" s="805"/>
      <c r="AF116" s="805"/>
      <c r="AG116" s="802"/>
      <c r="AH116" s="803">
        <v>1.978</v>
      </c>
      <c r="AI116" s="845">
        <f>7900/AH116</f>
        <v>3993.9332659251768</v>
      </c>
      <c r="AJ116" s="916"/>
      <c r="AK116" s="802"/>
      <c r="AL116" s="802"/>
      <c r="AM116" s="802"/>
      <c r="AN116" s="802"/>
      <c r="AO116" s="480"/>
      <c r="AP116" s="787"/>
      <c r="AQ116" s="51"/>
      <c r="AR116" s="464"/>
      <c r="AS116" s="464"/>
      <c r="AT116" s="464"/>
      <c r="AU116" s="464"/>
      <c r="AV116" s="464"/>
    </row>
    <row r="117" spans="1:48" s="474" customFormat="1" ht="38.25">
      <c r="A117" s="51" t="s">
        <v>178</v>
      </c>
      <c r="B117" s="468" t="s">
        <v>2251</v>
      </c>
      <c r="C117" s="445" t="s">
        <v>2252</v>
      </c>
      <c r="D117" s="449" t="s">
        <v>563</v>
      </c>
      <c r="E117" s="445" t="s">
        <v>1415</v>
      </c>
      <c r="F117" s="420">
        <v>1</v>
      </c>
      <c r="G117" s="449" t="s">
        <v>2965</v>
      </c>
      <c r="H117" s="421" t="s">
        <v>968</v>
      </c>
      <c r="I117" s="455" t="s">
        <v>970</v>
      </c>
      <c r="J117" s="507" t="s">
        <v>970</v>
      </c>
      <c r="K117" s="450" t="s">
        <v>680</v>
      </c>
      <c r="L117" s="432">
        <v>28.225000000000001</v>
      </c>
      <c r="M117" s="423">
        <v>0</v>
      </c>
      <c r="N117" s="444">
        <v>40087</v>
      </c>
      <c r="O117" s="424">
        <v>99.468999999999994</v>
      </c>
      <c r="P117" s="419" t="s">
        <v>1732</v>
      </c>
      <c r="Q117" s="422">
        <f>36.888+45.843</f>
        <v>82.730999999999995</v>
      </c>
      <c r="R117" s="425"/>
      <c r="S117" s="425"/>
      <c r="T117" s="881"/>
      <c r="U117" s="444">
        <v>40908</v>
      </c>
      <c r="V117" s="425">
        <v>63.486917808219189</v>
      </c>
      <c r="W117" s="400">
        <f>Q117/V117</f>
        <v>1.3031188606432775</v>
      </c>
      <c r="X117" s="545" t="s">
        <v>1084</v>
      </c>
      <c r="Y117" s="445" t="s">
        <v>2934</v>
      </c>
      <c r="Z117" s="445" t="s">
        <v>1417</v>
      </c>
      <c r="AA117" s="494">
        <v>39730</v>
      </c>
      <c r="AB117" s="431">
        <v>40625</v>
      </c>
      <c r="AC117" s="431">
        <v>40634</v>
      </c>
      <c r="AD117" s="431">
        <v>39955</v>
      </c>
      <c r="AE117" s="431"/>
      <c r="AF117" s="431"/>
      <c r="AG117" s="420"/>
      <c r="AH117" s="432">
        <f>6*2</f>
        <v>12</v>
      </c>
      <c r="AI117" s="422">
        <f>31536/AH117</f>
        <v>2628</v>
      </c>
      <c r="AJ117" s="753"/>
      <c r="AK117" s="420"/>
      <c r="AL117" s="420"/>
      <c r="AM117" s="420"/>
      <c r="AN117" s="420"/>
      <c r="AO117" s="419"/>
      <c r="AP117" s="530"/>
      <c r="AQ117" s="51"/>
    </row>
    <row r="118" spans="1:48" s="474" customFormat="1" ht="25.5">
      <c r="A118" s="51" t="s">
        <v>272</v>
      </c>
      <c r="B118" s="63">
        <v>9</v>
      </c>
      <c r="C118" s="51" t="s">
        <v>1716</v>
      </c>
      <c r="D118" s="54" t="s">
        <v>563</v>
      </c>
      <c r="E118" s="51" t="s">
        <v>1930</v>
      </c>
      <c r="F118" s="54">
        <v>2</v>
      </c>
      <c r="G118" s="54"/>
      <c r="H118" s="61" t="s">
        <v>1712</v>
      </c>
      <c r="I118" s="68" t="s">
        <v>970</v>
      </c>
      <c r="J118" s="54" t="s">
        <v>970</v>
      </c>
      <c r="K118" s="61" t="s">
        <v>680</v>
      </c>
      <c r="L118" s="888">
        <v>126.983</v>
      </c>
      <c r="M118" s="92"/>
      <c r="N118" s="122">
        <v>39448</v>
      </c>
      <c r="O118" s="942"/>
      <c r="P118" s="51" t="s">
        <v>1732</v>
      </c>
      <c r="Q118" s="888"/>
      <c r="R118" s="51"/>
      <c r="S118" s="51"/>
      <c r="T118" s="891"/>
      <c r="U118" s="122"/>
      <c r="V118" s="361"/>
      <c r="W118" s="382"/>
      <c r="X118" s="870"/>
      <c r="Y118" s="51" t="s">
        <v>290</v>
      </c>
      <c r="Z118" s="51" t="s">
        <v>1715</v>
      </c>
      <c r="AA118" s="864">
        <v>39043</v>
      </c>
      <c r="AB118" s="864"/>
      <c r="AC118" s="864"/>
      <c r="AD118" s="864"/>
      <c r="AE118" s="864"/>
      <c r="AF118" s="864"/>
      <c r="AG118" s="198"/>
      <c r="AH118" s="198">
        <v>9</v>
      </c>
      <c r="AI118" s="888"/>
      <c r="AJ118" s="198"/>
      <c r="AK118" s="198"/>
      <c r="AL118" s="198"/>
      <c r="AM118" s="198"/>
      <c r="AN118" s="198"/>
      <c r="AO118" s="51" t="s">
        <v>1717</v>
      </c>
      <c r="AP118" s="783">
        <v>7.798</v>
      </c>
      <c r="AQ118" s="467" t="s">
        <v>2830</v>
      </c>
    </row>
    <row r="119" spans="1:48" s="474" customFormat="1" ht="26.25" customHeight="1">
      <c r="A119" s="51" t="s">
        <v>1747</v>
      </c>
      <c r="B119" s="939">
        <v>219</v>
      </c>
      <c r="C119" s="51" t="s">
        <v>1754</v>
      </c>
      <c r="D119" s="54" t="s">
        <v>563</v>
      </c>
      <c r="E119" s="51" t="s">
        <v>1769</v>
      </c>
      <c r="F119" s="54">
        <v>2</v>
      </c>
      <c r="G119" s="54"/>
      <c r="H119" s="61" t="s">
        <v>1712</v>
      </c>
      <c r="I119" s="475" t="s">
        <v>1082</v>
      </c>
      <c r="J119" s="906" t="s">
        <v>3558</v>
      </c>
      <c r="K119" s="61" t="s">
        <v>14</v>
      </c>
      <c r="L119" s="888">
        <v>9.875</v>
      </c>
      <c r="M119" s="92">
        <v>2</v>
      </c>
      <c r="N119" s="122">
        <v>39934</v>
      </c>
      <c r="O119" s="942">
        <v>39.5</v>
      </c>
      <c r="P119" s="51" t="s">
        <v>728</v>
      </c>
      <c r="Q119" s="888"/>
      <c r="R119" s="361"/>
      <c r="S119" s="361"/>
      <c r="T119" s="891"/>
      <c r="U119" s="122"/>
      <c r="V119" s="361"/>
      <c r="W119" s="382"/>
      <c r="X119" s="870"/>
      <c r="Y119" s="51" t="s">
        <v>1084</v>
      </c>
      <c r="Z119" s="64" t="s">
        <v>1771</v>
      </c>
      <c r="AA119" s="1007">
        <v>40218</v>
      </c>
      <c r="AB119" s="945"/>
      <c r="AC119" s="864"/>
      <c r="AD119" s="864"/>
      <c r="AE119" s="864"/>
      <c r="AF119" s="864"/>
      <c r="AG119" s="198"/>
      <c r="AH119" s="198">
        <v>0</v>
      </c>
      <c r="AI119" s="888"/>
      <c r="AJ119" s="947">
        <f>4/Exch!B11</f>
        <v>4.7373539888283718</v>
      </c>
      <c r="AK119" s="198">
        <f>AJ119*1000/L119</f>
        <v>479.73204950160732</v>
      </c>
      <c r="AL119" s="888"/>
      <c r="AM119" s="198"/>
      <c r="AN119" s="198"/>
      <c r="AO119" s="51" t="s">
        <v>1770</v>
      </c>
      <c r="AP119" s="514"/>
      <c r="AQ119" s="782"/>
    </row>
    <row r="120" spans="1:48" s="474" customFormat="1" ht="25.5" customHeight="1">
      <c r="A120" s="467" t="s">
        <v>2020</v>
      </c>
      <c r="B120" s="499" t="s">
        <v>2012</v>
      </c>
      <c r="C120" s="445" t="s">
        <v>2016</v>
      </c>
      <c r="D120" s="449" t="s">
        <v>1598</v>
      </c>
      <c r="E120" s="480" t="s">
        <v>2069</v>
      </c>
      <c r="F120" s="420">
        <v>1</v>
      </c>
      <c r="G120" s="420"/>
      <c r="H120" s="421" t="s">
        <v>968</v>
      </c>
      <c r="I120" s="455" t="s">
        <v>981</v>
      </c>
      <c r="J120" s="419" t="s">
        <v>1173</v>
      </c>
      <c r="K120" s="421" t="s">
        <v>1980</v>
      </c>
      <c r="L120" s="422">
        <v>84.307000000000002</v>
      </c>
      <c r="M120" s="423">
        <v>0</v>
      </c>
      <c r="N120" s="479">
        <v>39965</v>
      </c>
      <c r="O120" s="424">
        <v>276.33800000000002</v>
      </c>
      <c r="P120" s="419" t="s">
        <v>1732</v>
      </c>
      <c r="Q120" s="422">
        <f>96.747+78.811+110.912+104.468+30.049</f>
        <v>420.98700000000002</v>
      </c>
      <c r="R120" s="425"/>
      <c r="S120" s="425"/>
      <c r="T120" s="881">
        <v>40364</v>
      </c>
      <c r="U120" s="444">
        <v>41274</v>
      </c>
      <c r="V120" s="425">
        <v>302.3503095890411</v>
      </c>
      <c r="W120" s="400">
        <f t="shared" ref="W120:W132" si="7">Q120/V120</f>
        <v>1.3923815741158381</v>
      </c>
      <c r="X120" s="544" t="s">
        <v>1731</v>
      </c>
      <c r="Y120" s="445" t="s">
        <v>2398</v>
      </c>
      <c r="Z120" s="445" t="s">
        <v>2070</v>
      </c>
      <c r="AA120" s="430">
        <v>40417</v>
      </c>
      <c r="AB120" s="430"/>
      <c r="AC120" s="431">
        <v>40352</v>
      </c>
      <c r="AD120" s="431">
        <v>40276</v>
      </c>
      <c r="AE120" s="431"/>
      <c r="AF120" s="431"/>
      <c r="AG120" s="432"/>
      <c r="AH120" s="432">
        <v>0</v>
      </c>
      <c r="AI120" s="422"/>
      <c r="AJ120" s="432"/>
      <c r="AK120" s="432"/>
      <c r="AL120" s="432"/>
      <c r="AM120" s="432"/>
      <c r="AN120" s="432"/>
      <c r="AO120" s="419"/>
      <c r="AP120" s="463"/>
      <c r="AQ120" s="51"/>
    </row>
    <row r="121" spans="1:48" s="474" customFormat="1" ht="25.5">
      <c r="A121" s="467" t="s">
        <v>2021</v>
      </c>
      <c r="B121" s="499" t="s">
        <v>2013</v>
      </c>
      <c r="C121" s="445" t="s">
        <v>2017</v>
      </c>
      <c r="D121" s="449" t="s">
        <v>1598</v>
      </c>
      <c r="E121" s="480" t="s">
        <v>2069</v>
      </c>
      <c r="F121" s="420">
        <v>1</v>
      </c>
      <c r="G121" s="420"/>
      <c r="H121" s="421" t="s">
        <v>968</v>
      </c>
      <c r="I121" s="455" t="s">
        <v>981</v>
      </c>
      <c r="J121" s="420" t="s">
        <v>1173</v>
      </c>
      <c r="K121" s="421" t="s">
        <v>1980</v>
      </c>
      <c r="L121" s="422">
        <v>49.704999999999998</v>
      </c>
      <c r="M121" s="423">
        <v>0</v>
      </c>
      <c r="N121" s="479">
        <v>39978</v>
      </c>
      <c r="O121" s="424">
        <v>176.315</v>
      </c>
      <c r="P121" s="419" t="s">
        <v>1732</v>
      </c>
      <c r="Q121" s="422">
        <f>75.851+52.27+65.096+77.24+24.394</f>
        <v>294.851</v>
      </c>
      <c r="R121" s="425"/>
      <c r="S121" s="425"/>
      <c r="T121" s="881">
        <v>40364</v>
      </c>
      <c r="U121" s="444">
        <v>41274</v>
      </c>
      <c r="V121" s="425">
        <v>176.48679452054793</v>
      </c>
      <c r="W121" s="400">
        <f t="shared" si="7"/>
        <v>1.6706689064244475</v>
      </c>
      <c r="X121" s="544" t="s">
        <v>1731</v>
      </c>
      <c r="Y121" s="445" t="s">
        <v>2398</v>
      </c>
      <c r="Z121" s="445" t="s">
        <v>2070</v>
      </c>
      <c r="AA121" s="430">
        <v>40417</v>
      </c>
      <c r="AB121" s="430"/>
      <c r="AC121" s="431">
        <v>40352</v>
      </c>
      <c r="AD121" s="431">
        <v>40276</v>
      </c>
      <c r="AE121" s="431"/>
      <c r="AF121" s="431"/>
      <c r="AG121" s="432"/>
      <c r="AH121" s="432">
        <v>0</v>
      </c>
      <c r="AI121" s="422"/>
      <c r="AJ121" s="432"/>
      <c r="AK121" s="432"/>
      <c r="AL121" s="432"/>
      <c r="AM121" s="432"/>
      <c r="AN121" s="432"/>
      <c r="AO121" s="419"/>
      <c r="AP121" s="463"/>
      <c r="AQ121" s="51"/>
    </row>
    <row r="122" spans="1:48" s="474" customFormat="1" ht="31.5" customHeight="1">
      <c r="A122" s="467" t="s">
        <v>2022</v>
      </c>
      <c r="B122" s="499" t="s">
        <v>2014</v>
      </c>
      <c r="C122" s="445" t="s">
        <v>2018</v>
      </c>
      <c r="D122" s="449" t="s">
        <v>1598</v>
      </c>
      <c r="E122" s="419" t="s">
        <v>2071</v>
      </c>
      <c r="F122" s="420">
        <v>1</v>
      </c>
      <c r="G122" s="420"/>
      <c r="H122" s="421" t="s">
        <v>968</v>
      </c>
      <c r="I122" s="455" t="s">
        <v>981</v>
      </c>
      <c r="J122" s="419" t="s">
        <v>1173</v>
      </c>
      <c r="K122" s="421" t="s">
        <v>1980</v>
      </c>
      <c r="L122" s="422">
        <v>34.536999999999999</v>
      </c>
      <c r="M122" s="423">
        <v>0</v>
      </c>
      <c r="N122" s="444">
        <v>39990</v>
      </c>
      <c r="O122" s="424">
        <v>121.358</v>
      </c>
      <c r="P122" s="419" t="s">
        <v>1732</v>
      </c>
      <c r="Q122" s="422">
        <f>71.902+47.953+58.363+57.447+20.423</f>
        <v>256.08800000000002</v>
      </c>
      <c r="R122" s="425"/>
      <c r="S122" s="425"/>
      <c r="T122" s="881">
        <v>40477</v>
      </c>
      <c r="U122" s="444">
        <v>41274</v>
      </c>
      <c r="V122" s="425">
        <v>121.49454246575343</v>
      </c>
      <c r="W122" s="400">
        <f t="shared" si="7"/>
        <v>2.1078148433884216</v>
      </c>
      <c r="X122" s="543" t="s">
        <v>1731</v>
      </c>
      <c r="Y122" s="445" t="s">
        <v>2398</v>
      </c>
      <c r="Z122" s="445" t="s">
        <v>2070</v>
      </c>
      <c r="AA122" s="430">
        <v>40427</v>
      </c>
      <c r="AB122" s="430"/>
      <c r="AC122" s="431">
        <v>40352</v>
      </c>
      <c r="AD122" s="431">
        <v>40276</v>
      </c>
      <c r="AE122" s="431"/>
      <c r="AF122" s="431"/>
      <c r="AG122" s="432"/>
      <c r="AH122" s="432"/>
      <c r="AI122" s="422"/>
      <c r="AJ122" s="432"/>
      <c r="AK122" s="432"/>
      <c r="AL122" s="432"/>
      <c r="AM122" s="432"/>
      <c r="AN122" s="432"/>
      <c r="AO122" s="419"/>
      <c r="AP122" s="463"/>
      <c r="AQ122" s="51"/>
    </row>
    <row r="123" spans="1:48" s="474" customFormat="1" ht="30" customHeight="1">
      <c r="A123" s="51" t="s">
        <v>1367</v>
      </c>
      <c r="B123" s="63" t="s">
        <v>1369</v>
      </c>
      <c r="C123" s="405" t="s">
        <v>1371</v>
      </c>
      <c r="D123" s="392" t="s">
        <v>1397</v>
      </c>
      <c r="E123" s="391" t="s">
        <v>682</v>
      </c>
      <c r="F123" s="392">
        <v>1</v>
      </c>
      <c r="G123" s="392"/>
      <c r="H123" s="393" t="s">
        <v>968</v>
      </c>
      <c r="I123" s="394" t="s">
        <v>640</v>
      </c>
      <c r="J123" s="392" t="s">
        <v>683</v>
      </c>
      <c r="K123" s="421" t="s">
        <v>2001</v>
      </c>
      <c r="L123" s="395">
        <f>O123/5</f>
        <v>101.5612</v>
      </c>
      <c r="M123" s="396">
        <v>50</v>
      </c>
      <c r="N123" s="397">
        <v>39689</v>
      </c>
      <c r="O123" s="398">
        <v>507.80599999999998</v>
      </c>
      <c r="P123" s="391" t="s">
        <v>1731</v>
      </c>
      <c r="Q123" s="395">
        <f>19.079+33.942+21.521+47.763+66.081+46.785+130.071+34.214+26.808+51.194</f>
        <v>477.45800000000003</v>
      </c>
      <c r="R123" s="399"/>
      <c r="S123" s="399"/>
      <c r="T123" s="879">
        <v>39895</v>
      </c>
      <c r="U123" s="397">
        <v>41182</v>
      </c>
      <c r="V123" s="399">
        <v>322.41222093450926</v>
      </c>
      <c r="W123" s="400">
        <f t="shared" si="7"/>
        <v>1.480892996599483</v>
      </c>
      <c r="X123" s="545" t="s">
        <v>1732</v>
      </c>
      <c r="Y123" s="391" t="s">
        <v>1970</v>
      </c>
      <c r="Z123" s="391" t="s">
        <v>684</v>
      </c>
      <c r="AA123" s="402">
        <v>39853</v>
      </c>
      <c r="AB123" s="402"/>
      <c r="AC123" s="401">
        <v>39730</v>
      </c>
      <c r="AD123" s="401">
        <v>39524</v>
      </c>
      <c r="AE123" s="402">
        <v>39853</v>
      </c>
      <c r="AF123" s="401"/>
      <c r="AG123" s="390"/>
      <c r="AH123" s="390">
        <v>0</v>
      </c>
      <c r="AI123" s="395"/>
      <c r="AJ123" s="395"/>
      <c r="AK123" s="395"/>
      <c r="AL123" s="395"/>
      <c r="AM123" s="390"/>
      <c r="AN123" s="395"/>
      <c r="AO123" s="391" t="s">
        <v>356</v>
      </c>
      <c r="AP123" s="463"/>
      <c r="AQ123" s="51"/>
    </row>
    <row r="124" spans="1:48" s="474" customFormat="1" ht="30" customHeight="1">
      <c r="A124" s="51" t="s">
        <v>1612</v>
      </c>
      <c r="B124" s="63" t="s">
        <v>1634</v>
      </c>
      <c r="C124" s="405" t="s">
        <v>1636</v>
      </c>
      <c r="D124" s="392" t="s">
        <v>1397</v>
      </c>
      <c r="E124" s="970" t="s">
        <v>987</v>
      </c>
      <c r="F124" s="392">
        <v>1</v>
      </c>
      <c r="G124" s="392"/>
      <c r="H124" s="393" t="s">
        <v>968</v>
      </c>
      <c r="I124" s="553" t="s">
        <v>981</v>
      </c>
      <c r="J124" s="392" t="s">
        <v>1172</v>
      </c>
      <c r="K124" s="421" t="s">
        <v>2001</v>
      </c>
      <c r="L124" s="395">
        <f>O124/4</f>
        <v>1373.7325000000001</v>
      </c>
      <c r="M124" s="396">
        <v>0</v>
      </c>
      <c r="N124" s="397">
        <v>39854</v>
      </c>
      <c r="O124" s="398">
        <v>5494.93</v>
      </c>
      <c r="P124" s="391" t="s">
        <v>1732</v>
      </c>
      <c r="Q124" s="395">
        <f>90.977+221.527+45.029+121.092+213.243+562.363+499.033+412.189+492.534+411.777+428.193+342.07+502.605+580.145+480.476+148.29+202.019</f>
        <v>5753.5619999999999</v>
      </c>
      <c r="R124" s="399"/>
      <c r="S124" s="399"/>
      <c r="T124" s="879">
        <v>40073</v>
      </c>
      <c r="U124" s="397">
        <v>41274</v>
      </c>
      <c r="V124" s="399">
        <v>5344.38397260274</v>
      </c>
      <c r="W124" s="400">
        <f t="shared" si="7"/>
        <v>1.0765622435616258</v>
      </c>
      <c r="X124" s="545" t="s">
        <v>1732</v>
      </c>
      <c r="Y124" s="391" t="s">
        <v>2096</v>
      </c>
      <c r="Z124" s="391" t="s">
        <v>684</v>
      </c>
      <c r="AA124" s="402">
        <v>40015</v>
      </c>
      <c r="AB124" s="402"/>
      <c r="AC124" s="401">
        <v>40009</v>
      </c>
      <c r="AD124" s="401">
        <v>39781</v>
      </c>
      <c r="AE124" s="401"/>
      <c r="AF124" s="401"/>
      <c r="AG124" s="390"/>
      <c r="AH124" s="390">
        <v>0</v>
      </c>
      <c r="AI124" s="395"/>
      <c r="AJ124" s="390"/>
      <c r="AK124" s="390"/>
      <c r="AL124" s="390"/>
      <c r="AM124" s="390"/>
      <c r="AN124" s="390"/>
      <c r="AO124" s="391" t="s">
        <v>900</v>
      </c>
      <c r="AP124" s="514"/>
      <c r="AQ124" s="51"/>
    </row>
    <row r="125" spans="1:48" s="474" customFormat="1" ht="15" customHeight="1">
      <c r="A125" s="51" t="s">
        <v>1791</v>
      </c>
      <c r="B125" s="59" t="s">
        <v>1779</v>
      </c>
      <c r="C125" s="419" t="s">
        <v>1784</v>
      </c>
      <c r="D125" s="420" t="s">
        <v>1397</v>
      </c>
      <c r="E125" s="445" t="s">
        <v>1084</v>
      </c>
      <c r="F125" s="420">
        <v>1</v>
      </c>
      <c r="G125" s="420"/>
      <c r="H125" s="421" t="s">
        <v>968</v>
      </c>
      <c r="I125" s="448" t="s">
        <v>1082</v>
      </c>
      <c r="J125" s="420" t="s">
        <v>687</v>
      </c>
      <c r="K125" s="421" t="s">
        <v>2001</v>
      </c>
      <c r="L125" s="420">
        <v>77</v>
      </c>
      <c r="M125" s="423">
        <v>21</v>
      </c>
      <c r="N125" s="444">
        <v>39508</v>
      </c>
      <c r="O125" s="424">
        <v>384.90100000000001</v>
      </c>
      <c r="P125" s="419" t="s">
        <v>728</v>
      </c>
      <c r="Q125" s="422">
        <f>43.757+47.724+77.75+79.578</f>
        <v>248.809</v>
      </c>
      <c r="R125" s="425"/>
      <c r="S125" s="425"/>
      <c r="T125" s="881">
        <v>40612</v>
      </c>
      <c r="U125" s="865">
        <v>41243</v>
      </c>
      <c r="V125" s="425">
        <v>353.706886845562</v>
      </c>
      <c r="W125" s="400">
        <f t="shared" si="7"/>
        <v>0.70343272707787774</v>
      </c>
      <c r="X125" s="543" t="s">
        <v>1018</v>
      </c>
      <c r="Y125" s="419" t="s">
        <v>1048</v>
      </c>
      <c r="Z125" s="445" t="s">
        <v>2531</v>
      </c>
      <c r="AA125" s="431">
        <v>40274</v>
      </c>
      <c r="AB125" s="430"/>
      <c r="AC125" s="431">
        <v>40252</v>
      </c>
      <c r="AD125" s="431">
        <v>40157</v>
      </c>
      <c r="AE125" s="431"/>
      <c r="AF125" s="431"/>
      <c r="AG125" s="432"/>
      <c r="AH125" s="432">
        <v>0</v>
      </c>
      <c r="AI125" s="422"/>
      <c r="AJ125" s="433"/>
      <c r="AK125" s="432"/>
      <c r="AL125" s="422"/>
      <c r="AM125" s="423"/>
      <c r="AN125" s="497"/>
      <c r="AO125" s="420"/>
      <c r="AP125" s="514"/>
      <c r="AQ125" s="51"/>
    </row>
    <row r="126" spans="1:48" s="474" customFormat="1" ht="16.5" customHeight="1">
      <c r="A126" s="51" t="s">
        <v>1792</v>
      </c>
      <c r="B126" s="59" t="s">
        <v>1780</v>
      </c>
      <c r="C126" s="419" t="s">
        <v>1785</v>
      </c>
      <c r="D126" s="420" t="s">
        <v>1397</v>
      </c>
      <c r="E126" s="445" t="s">
        <v>1084</v>
      </c>
      <c r="F126" s="420">
        <v>1</v>
      </c>
      <c r="G126" s="420"/>
      <c r="H126" s="421" t="s">
        <v>968</v>
      </c>
      <c r="I126" s="448" t="s">
        <v>1082</v>
      </c>
      <c r="J126" s="420" t="s">
        <v>687</v>
      </c>
      <c r="K126" s="421" t="s">
        <v>2001</v>
      </c>
      <c r="L126" s="422">
        <v>63.55</v>
      </c>
      <c r="M126" s="423">
        <v>14</v>
      </c>
      <c r="N126" s="444">
        <v>39448</v>
      </c>
      <c r="O126" s="424">
        <v>317.75</v>
      </c>
      <c r="P126" s="419" t="s">
        <v>728</v>
      </c>
      <c r="Q126" s="422">
        <f>149.868+114.954+201.64</f>
        <v>466.46199999999999</v>
      </c>
      <c r="R126" s="425"/>
      <c r="S126" s="425"/>
      <c r="T126" s="881">
        <v>40612</v>
      </c>
      <c r="U126" s="444">
        <v>40908</v>
      </c>
      <c r="V126" s="425">
        <v>226.2</v>
      </c>
      <c r="W126" s="400">
        <f t="shared" si="7"/>
        <v>2.0621662245800176</v>
      </c>
      <c r="X126" s="543" t="s">
        <v>1018</v>
      </c>
      <c r="Y126" s="419" t="s">
        <v>1048</v>
      </c>
      <c r="Z126" s="445" t="s">
        <v>2531</v>
      </c>
      <c r="AA126" s="431">
        <v>40274</v>
      </c>
      <c r="AB126" s="430"/>
      <c r="AC126" s="431">
        <v>40252</v>
      </c>
      <c r="AD126" s="431">
        <v>40158</v>
      </c>
      <c r="AE126" s="431"/>
      <c r="AF126" s="431"/>
      <c r="AG126" s="432"/>
      <c r="AH126" s="432">
        <v>0</v>
      </c>
      <c r="AI126" s="422"/>
      <c r="AJ126" s="433"/>
      <c r="AK126" s="432"/>
      <c r="AL126" s="422"/>
      <c r="AM126" s="423"/>
      <c r="AN126" s="497"/>
      <c r="AO126" s="420"/>
      <c r="AP126" s="514"/>
      <c r="AQ126" s="51"/>
    </row>
    <row r="127" spans="1:48" s="474" customFormat="1" ht="15.75" customHeight="1">
      <c r="A127" s="51" t="s">
        <v>1793</v>
      </c>
      <c r="B127" s="59" t="s">
        <v>1781</v>
      </c>
      <c r="C127" s="419" t="s">
        <v>1786</v>
      </c>
      <c r="D127" s="420" t="s">
        <v>1397</v>
      </c>
      <c r="E127" s="445" t="s">
        <v>1084</v>
      </c>
      <c r="F127" s="420">
        <v>1</v>
      </c>
      <c r="G127" s="420"/>
      <c r="H127" s="421" t="s">
        <v>968</v>
      </c>
      <c r="I127" s="448" t="s">
        <v>1082</v>
      </c>
      <c r="J127" s="449" t="s">
        <v>1357</v>
      </c>
      <c r="K127" s="421" t="s">
        <v>2001</v>
      </c>
      <c r="L127" s="422">
        <v>51.398000000000003</v>
      </c>
      <c r="M127" s="423">
        <v>9</v>
      </c>
      <c r="N127" s="444">
        <v>39448</v>
      </c>
      <c r="O127" s="424">
        <v>205.59299999999999</v>
      </c>
      <c r="P127" s="419" t="s">
        <v>728</v>
      </c>
      <c r="Q127" s="422">
        <f>85.694+92.776</f>
        <v>178.47</v>
      </c>
      <c r="R127" s="425"/>
      <c r="S127" s="425"/>
      <c r="T127" s="881">
        <v>40722</v>
      </c>
      <c r="U127" s="444">
        <v>41274</v>
      </c>
      <c r="V127" s="425">
        <v>257.19249405141682</v>
      </c>
      <c r="W127" s="400">
        <f t="shared" si="7"/>
        <v>0.69391605170375248</v>
      </c>
      <c r="X127" s="545" t="s">
        <v>728</v>
      </c>
      <c r="Y127" s="445" t="s">
        <v>2291</v>
      </c>
      <c r="Z127" s="445" t="s">
        <v>1819</v>
      </c>
      <c r="AA127" s="431">
        <v>40274</v>
      </c>
      <c r="AB127" s="430"/>
      <c r="AC127" s="431">
        <v>40252</v>
      </c>
      <c r="AD127" s="431">
        <v>40157</v>
      </c>
      <c r="AE127" s="431"/>
      <c r="AF127" s="431"/>
      <c r="AG127" s="432"/>
      <c r="AH127" s="432">
        <v>48</v>
      </c>
      <c r="AI127" s="422"/>
      <c r="AJ127" s="433">
        <v>14.5</v>
      </c>
      <c r="AK127" s="432">
        <f>AJ127*1000/L127</f>
        <v>282.11214444141791</v>
      </c>
      <c r="AL127" s="422"/>
      <c r="AM127" s="432"/>
      <c r="AN127" s="432"/>
      <c r="AO127" s="419"/>
      <c r="AP127" s="514"/>
      <c r="AQ127" s="51"/>
    </row>
    <row r="128" spans="1:48" s="474" customFormat="1" ht="27" customHeight="1">
      <c r="A128" s="467" t="s">
        <v>1877</v>
      </c>
      <c r="B128" s="59" t="s">
        <v>1848</v>
      </c>
      <c r="C128" s="445" t="s">
        <v>1867</v>
      </c>
      <c r="D128" s="449" t="s">
        <v>1397</v>
      </c>
      <c r="E128" s="445" t="s">
        <v>682</v>
      </c>
      <c r="F128" s="420">
        <v>1</v>
      </c>
      <c r="G128" s="420"/>
      <c r="H128" s="421" t="s">
        <v>968</v>
      </c>
      <c r="I128" s="455" t="s">
        <v>981</v>
      </c>
      <c r="J128" s="420" t="s">
        <v>1173</v>
      </c>
      <c r="K128" s="421" t="s">
        <v>2001</v>
      </c>
      <c r="L128" s="750">
        <v>258.892</v>
      </c>
      <c r="M128" s="423">
        <v>0</v>
      </c>
      <c r="N128" s="444">
        <v>40057</v>
      </c>
      <c r="O128" s="751">
        <v>776.67600000000004</v>
      </c>
      <c r="P128" s="445" t="s">
        <v>728</v>
      </c>
      <c r="Q128" s="422">
        <f>17.60983+22.34863+114.256</f>
        <v>154.21446</v>
      </c>
      <c r="R128" s="425"/>
      <c r="S128" s="425"/>
      <c r="T128" s="881">
        <v>40619</v>
      </c>
      <c r="U128" s="444">
        <v>40835</v>
      </c>
      <c r="V128" s="425">
        <v>551.83007123287666</v>
      </c>
      <c r="W128" s="400">
        <f t="shared" si="7"/>
        <v>0.27946005127168988</v>
      </c>
      <c r="X128" s="545" t="s">
        <v>728</v>
      </c>
      <c r="Y128" s="445" t="s">
        <v>2291</v>
      </c>
      <c r="Z128" s="419" t="s">
        <v>1084</v>
      </c>
      <c r="AA128" s="431">
        <v>40323</v>
      </c>
      <c r="AB128" s="431"/>
      <c r="AC128" s="431">
        <v>40284</v>
      </c>
      <c r="AD128" s="431">
        <v>40117</v>
      </c>
      <c r="AE128" s="431"/>
      <c r="AF128" s="431"/>
      <c r="AG128" s="432"/>
      <c r="AH128" s="432">
        <v>0</v>
      </c>
      <c r="AI128" s="432"/>
      <c r="AJ128" s="432"/>
      <c r="AK128" s="432"/>
      <c r="AL128" s="432"/>
      <c r="AM128" s="432"/>
      <c r="AN128" s="432"/>
      <c r="AO128" s="419"/>
      <c r="AP128" s="463"/>
      <c r="AQ128" s="51"/>
      <c r="AR128" s="464"/>
      <c r="AS128" s="464"/>
      <c r="AT128" s="464"/>
      <c r="AU128" s="464"/>
      <c r="AV128" s="464"/>
    </row>
    <row r="129" spans="1:48" s="474" customFormat="1" ht="27" customHeight="1">
      <c r="A129" s="466" t="s">
        <v>1878</v>
      </c>
      <c r="B129" s="59" t="s">
        <v>1849</v>
      </c>
      <c r="C129" s="445" t="s">
        <v>1866</v>
      </c>
      <c r="D129" s="449" t="s">
        <v>1397</v>
      </c>
      <c r="E129" s="419" t="s">
        <v>1868</v>
      </c>
      <c r="F129" s="420">
        <v>1</v>
      </c>
      <c r="G129" s="420"/>
      <c r="H129" s="448" t="s">
        <v>968</v>
      </c>
      <c r="I129" s="455" t="s">
        <v>981</v>
      </c>
      <c r="J129" s="420" t="s">
        <v>1173</v>
      </c>
      <c r="K129" s="421" t="s">
        <v>2001</v>
      </c>
      <c r="L129" s="750">
        <f>O129/3.05</f>
        <v>87.035737704918034</v>
      </c>
      <c r="M129" s="423">
        <v>0</v>
      </c>
      <c r="N129" s="444">
        <v>40155</v>
      </c>
      <c r="O129" s="751">
        <v>265.459</v>
      </c>
      <c r="P129" s="419" t="s">
        <v>1314</v>
      </c>
      <c r="Q129" s="422">
        <f>23.947+106.217+53.385+36.117</f>
        <v>219.66599999999997</v>
      </c>
      <c r="R129" s="425"/>
      <c r="S129" s="425"/>
      <c r="T129" s="881">
        <v>40744</v>
      </c>
      <c r="U129" s="444">
        <v>41227</v>
      </c>
      <c r="V129" s="425">
        <v>255.62276936896475</v>
      </c>
      <c r="W129" s="400">
        <f t="shared" si="7"/>
        <v>0.85933659408460228</v>
      </c>
      <c r="X129" s="543" t="s">
        <v>1314</v>
      </c>
      <c r="Y129" s="419" t="s">
        <v>1869</v>
      </c>
      <c r="Z129" s="419" t="s">
        <v>1870</v>
      </c>
      <c r="AA129" s="431">
        <v>40323</v>
      </c>
      <c r="AB129" s="431"/>
      <c r="AC129" s="431">
        <v>40284</v>
      </c>
      <c r="AD129" s="431">
        <v>40093</v>
      </c>
      <c r="AE129" s="431"/>
      <c r="AF129" s="431"/>
      <c r="AG129" s="432"/>
      <c r="AH129" s="432">
        <v>0</v>
      </c>
      <c r="AI129" s="432"/>
      <c r="AJ129" s="432"/>
      <c r="AK129" s="432"/>
      <c r="AL129" s="432"/>
      <c r="AM129" s="432"/>
      <c r="AN129" s="432"/>
      <c r="AO129" s="419"/>
      <c r="AP129" s="463"/>
      <c r="AQ129" s="466"/>
    </row>
    <row r="130" spans="1:48" s="474" customFormat="1" ht="25.5">
      <c r="A130" s="467" t="s">
        <v>1879</v>
      </c>
      <c r="B130" s="59" t="s">
        <v>1850</v>
      </c>
      <c r="C130" s="445" t="s">
        <v>1865</v>
      </c>
      <c r="D130" s="449" t="s">
        <v>1397</v>
      </c>
      <c r="E130" s="419" t="s">
        <v>1868</v>
      </c>
      <c r="F130" s="420">
        <v>1</v>
      </c>
      <c r="G130" s="420"/>
      <c r="H130" s="421" t="s">
        <v>968</v>
      </c>
      <c r="I130" s="455" t="s">
        <v>981</v>
      </c>
      <c r="J130" s="419" t="s">
        <v>1173</v>
      </c>
      <c r="K130" s="421" t="s">
        <v>2001</v>
      </c>
      <c r="L130" s="750">
        <f>O130/3.05</f>
        <v>260.8455737704918</v>
      </c>
      <c r="M130" s="423">
        <v>0</v>
      </c>
      <c r="N130" s="444">
        <v>40155</v>
      </c>
      <c r="O130" s="751">
        <v>795.57899999999995</v>
      </c>
      <c r="P130" s="419" t="s">
        <v>1314</v>
      </c>
      <c r="Q130" s="422">
        <f>125.81+110.747+59.504+36.585</f>
        <v>332.64600000000002</v>
      </c>
      <c r="R130" s="425"/>
      <c r="S130" s="425"/>
      <c r="T130" s="881">
        <v>40668</v>
      </c>
      <c r="U130" s="444">
        <v>41227</v>
      </c>
      <c r="V130" s="425">
        <v>766.09987693689641</v>
      </c>
      <c r="W130" s="400">
        <f t="shared" si="7"/>
        <v>0.43420709233112176</v>
      </c>
      <c r="X130" s="543" t="s">
        <v>1314</v>
      </c>
      <c r="Y130" s="445" t="s">
        <v>2257</v>
      </c>
      <c r="Z130" s="419" t="s">
        <v>1774</v>
      </c>
      <c r="AA130" s="431">
        <v>40323</v>
      </c>
      <c r="AB130" s="431"/>
      <c r="AC130" s="431">
        <v>40284</v>
      </c>
      <c r="AD130" s="431">
        <v>40093</v>
      </c>
      <c r="AE130" s="431"/>
      <c r="AF130" s="431"/>
      <c r="AG130" s="432"/>
      <c r="AH130" s="432"/>
      <c r="AI130" s="432"/>
      <c r="AJ130" s="432"/>
      <c r="AK130" s="432"/>
      <c r="AL130" s="432"/>
      <c r="AM130" s="432"/>
      <c r="AN130" s="432"/>
      <c r="AO130" s="419"/>
      <c r="AP130" s="463"/>
      <c r="AQ130" s="51"/>
    </row>
    <row r="131" spans="1:48" s="474" customFormat="1" ht="13.5" customHeight="1">
      <c r="A131" s="466" t="s">
        <v>1842</v>
      </c>
      <c r="B131" s="59" t="s">
        <v>1851</v>
      </c>
      <c r="C131" s="445" t="s">
        <v>1864</v>
      </c>
      <c r="D131" s="449" t="s">
        <v>1397</v>
      </c>
      <c r="E131" s="419"/>
      <c r="F131" s="420">
        <v>1</v>
      </c>
      <c r="G131" s="420"/>
      <c r="H131" s="421" t="s">
        <v>968</v>
      </c>
      <c r="I131" s="455" t="s">
        <v>981</v>
      </c>
      <c r="J131" s="420" t="s">
        <v>1173</v>
      </c>
      <c r="K131" s="421" t="s">
        <v>2001</v>
      </c>
      <c r="L131" s="750">
        <f>O131/3</f>
        <v>122.404</v>
      </c>
      <c r="M131" s="423">
        <v>0</v>
      </c>
      <c r="N131" s="444">
        <v>40179</v>
      </c>
      <c r="O131" s="751">
        <v>367.21199999999999</v>
      </c>
      <c r="P131" s="419" t="s">
        <v>1314</v>
      </c>
      <c r="Q131" s="422">
        <f>128.118+171.566+130.923+107.614</f>
        <v>538.221</v>
      </c>
      <c r="R131" s="425"/>
      <c r="S131" s="425"/>
      <c r="T131" s="881">
        <v>40458</v>
      </c>
      <c r="U131" s="444">
        <v>41274</v>
      </c>
      <c r="V131" s="425">
        <v>367.21199999999999</v>
      </c>
      <c r="W131" s="400">
        <f t="shared" si="7"/>
        <v>1.4656955655043953</v>
      </c>
      <c r="X131" s="543" t="s">
        <v>1314</v>
      </c>
      <c r="Y131" s="445" t="s">
        <v>2257</v>
      </c>
      <c r="Z131" s="445" t="s">
        <v>1884</v>
      </c>
      <c r="AA131" s="431">
        <v>40323</v>
      </c>
      <c r="AB131" s="431"/>
      <c r="AC131" s="431">
        <v>40284</v>
      </c>
      <c r="AD131" s="431">
        <v>40065</v>
      </c>
      <c r="AE131" s="431"/>
      <c r="AF131" s="431"/>
      <c r="AG131" s="432"/>
      <c r="AH131" s="432"/>
      <c r="AI131" s="432"/>
      <c r="AJ131" s="432"/>
      <c r="AK131" s="432"/>
      <c r="AL131" s="432"/>
      <c r="AM131" s="432"/>
      <c r="AN131" s="432"/>
      <c r="AO131" s="419"/>
      <c r="AP131" s="463"/>
      <c r="AQ131" s="51"/>
    </row>
    <row r="132" spans="1:48" s="474" customFormat="1">
      <c r="A132" s="467" t="s">
        <v>1976</v>
      </c>
      <c r="B132" s="499" t="s">
        <v>1965</v>
      </c>
      <c r="C132" s="445" t="s">
        <v>1964</v>
      </c>
      <c r="D132" s="449" t="s">
        <v>1397</v>
      </c>
      <c r="E132" s="445" t="s">
        <v>1968</v>
      </c>
      <c r="F132" s="420">
        <v>1</v>
      </c>
      <c r="G132" s="420"/>
      <c r="H132" s="421" t="s">
        <v>968</v>
      </c>
      <c r="I132" s="455" t="s">
        <v>981</v>
      </c>
      <c r="J132" s="420" t="s">
        <v>1173</v>
      </c>
      <c r="K132" s="421" t="s">
        <v>2001</v>
      </c>
      <c r="L132" s="422">
        <f>O132/3</f>
        <v>98.682333333333347</v>
      </c>
      <c r="M132" s="423">
        <v>10</v>
      </c>
      <c r="N132" s="444">
        <v>40286</v>
      </c>
      <c r="O132" s="424">
        <v>296.04700000000003</v>
      </c>
      <c r="P132" s="419" t="s">
        <v>1314</v>
      </c>
      <c r="Q132" s="422">
        <f>89.511+28.724+30.767+36.585</f>
        <v>185.58700000000002</v>
      </c>
      <c r="R132" s="425"/>
      <c r="S132" s="425"/>
      <c r="T132" s="881">
        <v>41206</v>
      </c>
      <c r="U132" s="444">
        <v>41274</v>
      </c>
      <c r="V132" s="425">
        <v>236.08213958841563</v>
      </c>
      <c r="W132" s="400">
        <f t="shared" si="7"/>
        <v>0.7861119876478222</v>
      </c>
      <c r="X132" s="1060" t="s">
        <v>1314</v>
      </c>
      <c r="Y132" s="513" t="s">
        <v>1961</v>
      </c>
      <c r="Z132" s="445" t="s">
        <v>1957</v>
      </c>
      <c r="AA132" s="1067">
        <v>40387</v>
      </c>
      <c r="AB132" s="430"/>
      <c r="AC132" s="431">
        <v>40350</v>
      </c>
      <c r="AD132" s="431">
        <v>40224</v>
      </c>
      <c r="AE132" s="431"/>
      <c r="AF132" s="431"/>
      <c r="AG132" s="432"/>
      <c r="AH132" s="432">
        <v>0</v>
      </c>
      <c r="AI132" s="422"/>
      <c r="AJ132" s="432"/>
      <c r="AK132" s="423"/>
      <c r="AL132" s="432"/>
      <c r="AM132" s="432"/>
      <c r="AN132" s="432"/>
      <c r="AO132" s="419"/>
      <c r="AP132" s="463"/>
      <c r="AQ132" s="64"/>
    </row>
    <row r="133" spans="1:48" s="474" customFormat="1" ht="25.5">
      <c r="A133" s="466" t="s">
        <v>1977</v>
      </c>
      <c r="B133" s="499" t="s">
        <v>1966</v>
      </c>
      <c r="C133" s="445" t="s">
        <v>1969</v>
      </c>
      <c r="D133" s="449" t="s">
        <v>1397</v>
      </c>
      <c r="E133" s="445" t="s">
        <v>1971</v>
      </c>
      <c r="F133" s="420">
        <v>1</v>
      </c>
      <c r="G133" s="420"/>
      <c r="H133" s="421" t="s">
        <v>968</v>
      </c>
      <c r="I133" s="455" t="s">
        <v>981</v>
      </c>
      <c r="J133" s="420" t="s">
        <v>1173</v>
      </c>
      <c r="K133" s="421" t="s">
        <v>2001</v>
      </c>
      <c r="L133" s="422">
        <f>O133/3</f>
        <v>23.283666666666665</v>
      </c>
      <c r="M133" s="423">
        <v>10</v>
      </c>
      <c r="N133" s="444">
        <v>40330</v>
      </c>
      <c r="O133" s="424">
        <v>69.850999999999999</v>
      </c>
      <c r="P133" s="445" t="s">
        <v>728</v>
      </c>
      <c r="Q133" s="422"/>
      <c r="R133" s="419"/>
      <c r="S133" s="419"/>
      <c r="T133" s="881"/>
      <c r="U133" s="444"/>
      <c r="V133" s="425"/>
      <c r="W133" s="427"/>
      <c r="X133" s="543"/>
      <c r="Y133" s="445" t="s">
        <v>1970</v>
      </c>
      <c r="Z133" s="445" t="s">
        <v>684</v>
      </c>
      <c r="AA133" s="1067">
        <v>40387</v>
      </c>
      <c r="AB133" s="430"/>
      <c r="AC133" s="431">
        <v>40350</v>
      </c>
      <c r="AD133" s="911">
        <v>39902</v>
      </c>
      <c r="AE133" s="431"/>
      <c r="AF133" s="431"/>
      <c r="AG133" s="432"/>
      <c r="AH133" s="432">
        <v>0</v>
      </c>
      <c r="AI133" s="422"/>
      <c r="AJ133" s="432"/>
      <c r="AK133" s="432"/>
      <c r="AL133" s="432"/>
      <c r="AM133" s="432"/>
      <c r="AN133" s="432"/>
      <c r="AO133" s="419"/>
      <c r="AP133" s="463"/>
      <c r="AQ133" s="51"/>
    </row>
    <row r="134" spans="1:48" s="474" customFormat="1" ht="27" customHeight="1">
      <c r="A134" s="467" t="s">
        <v>1979</v>
      </c>
      <c r="B134" s="499" t="s">
        <v>1967</v>
      </c>
      <c r="C134" s="445" t="s">
        <v>1972</v>
      </c>
      <c r="D134" s="449" t="s">
        <v>1397</v>
      </c>
      <c r="E134" s="445" t="s">
        <v>1973</v>
      </c>
      <c r="F134" s="420">
        <v>1</v>
      </c>
      <c r="G134" s="420"/>
      <c r="H134" s="421" t="s">
        <v>968</v>
      </c>
      <c r="I134" s="455" t="s">
        <v>981</v>
      </c>
      <c r="J134" s="420" t="s">
        <v>1173</v>
      </c>
      <c r="K134" s="421" t="s">
        <v>2001</v>
      </c>
      <c r="L134" s="422">
        <f>O134/3</f>
        <v>24.578999999999997</v>
      </c>
      <c r="M134" s="423">
        <v>0</v>
      </c>
      <c r="N134" s="444">
        <v>40402</v>
      </c>
      <c r="O134" s="424">
        <v>73.736999999999995</v>
      </c>
      <c r="P134" s="445" t="s">
        <v>728</v>
      </c>
      <c r="Q134" s="422">
        <f>25.834+84.729+51.196</f>
        <v>161.75900000000001</v>
      </c>
      <c r="R134" s="425"/>
      <c r="S134" s="425"/>
      <c r="T134" s="881">
        <v>41164</v>
      </c>
      <c r="U134" s="444">
        <v>41274</v>
      </c>
      <c r="V134" s="425">
        <v>58.720241095890401</v>
      </c>
      <c r="W134" s="400">
        <f>Q134/V134</f>
        <v>2.7547400518306264</v>
      </c>
      <c r="X134" s="1060" t="s">
        <v>1314</v>
      </c>
      <c r="Y134" s="445" t="s">
        <v>1970</v>
      </c>
      <c r="Z134" s="445" t="s">
        <v>684</v>
      </c>
      <c r="AA134" s="1067">
        <v>40387</v>
      </c>
      <c r="AB134" s="430"/>
      <c r="AC134" s="431">
        <v>40350</v>
      </c>
      <c r="AD134" s="911">
        <v>39902</v>
      </c>
      <c r="AE134" s="431"/>
      <c r="AF134" s="431"/>
      <c r="AG134" s="432"/>
      <c r="AH134" s="432">
        <v>0</v>
      </c>
      <c r="AI134" s="422"/>
      <c r="AJ134" s="432"/>
      <c r="AK134" s="432"/>
      <c r="AL134" s="432"/>
      <c r="AM134" s="432"/>
      <c r="AN134" s="432"/>
      <c r="AO134" s="419"/>
      <c r="AP134" s="463"/>
      <c r="AQ134" s="51"/>
    </row>
    <row r="135" spans="1:48" s="474" customFormat="1" ht="27.75" customHeight="1">
      <c r="A135" s="467" t="s">
        <v>2041</v>
      </c>
      <c r="B135" s="468" t="s">
        <v>2037</v>
      </c>
      <c r="C135" s="445" t="s">
        <v>2036</v>
      </c>
      <c r="D135" s="449" t="s">
        <v>1397</v>
      </c>
      <c r="E135" s="445" t="s">
        <v>2065</v>
      </c>
      <c r="F135" s="420">
        <v>1</v>
      </c>
      <c r="G135" s="420"/>
      <c r="H135" s="421" t="s">
        <v>968</v>
      </c>
      <c r="I135" s="455" t="s">
        <v>981</v>
      </c>
      <c r="J135" s="725" t="s">
        <v>1173</v>
      </c>
      <c r="K135" s="421" t="s">
        <v>2132</v>
      </c>
      <c r="L135" s="422">
        <v>63.944000000000003</v>
      </c>
      <c r="M135" s="423">
        <v>0</v>
      </c>
      <c r="N135" s="444">
        <v>40402</v>
      </c>
      <c r="O135" s="424">
        <v>191.83099999999999</v>
      </c>
      <c r="P135" s="419" t="s">
        <v>1732</v>
      </c>
      <c r="Q135" s="422"/>
      <c r="R135" s="419"/>
      <c r="S135" s="419"/>
      <c r="T135" s="881"/>
      <c r="U135" s="444"/>
      <c r="V135" s="425"/>
      <c r="W135" s="427"/>
      <c r="X135" s="543"/>
      <c r="Y135" s="445" t="s">
        <v>1961</v>
      </c>
      <c r="Z135" s="419" t="s">
        <v>1774</v>
      </c>
      <c r="AA135" s="430">
        <v>40438</v>
      </c>
      <c r="AB135" s="430"/>
      <c r="AC135" s="431">
        <v>40403</v>
      </c>
      <c r="AD135" s="431">
        <v>40364</v>
      </c>
      <c r="AE135" s="431"/>
      <c r="AF135" s="431"/>
      <c r="AG135" s="432"/>
      <c r="AH135" s="432"/>
      <c r="AI135" s="422"/>
      <c r="AJ135" s="432"/>
      <c r="AK135" s="432"/>
      <c r="AL135" s="432"/>
      <c r="AM135" s="432"/>
      <c r="AN135" s="432"/>
      <c r="AO135" s="419"/>
      <c r="AP135" s="463"/>
      <c r="AQ135" s="51"/>
    </row>
    <row r="136" spans="1:48" s="474" customFormat="1" ht="26.25" customHeight="1">
      <c r="A136" s="467" t="s">
        <v>2228</v>
      </c>
      <c r="B136" s="499" t="s">
        <v>2236</v>
      </c>
      <c r="C136" s="445" t="s">
        <v>2238</v>
      </c>
      <c r="D136" s="449" t="s">
        <v>1397</v>
      </c>
      <c r="E136" s="445" t="s">
        <v>987</v>
      </c>
      <c r="F136" s="420">
        <v>1</v>
      </c>
      <c r="G136" s="420"/>
      <c r="H136" s="421" t="s">
        <v>968</v>
      </c>
      <c r="I136" s="455" t="s">
        <v>981</v>
      </c>
      <c r="J136" s="725" t="s">
        <v>1173</v>
      </c>
      <c r="K136" s="448" t="s">
        <v>2001</v>
      </c>
      <c r="L136" s="422">
        <f>O136/2.5</f>
        <v>126.5184</v>
      </c>
      <c r="M136" s="423">
        <v>0</v>
      </c>
      <c r="N136" s="444">
        <v>40422</v>
      </c>
      <c r="O136" s="424">
        <v>316.29599999999999</v>
      </c>
      <c r="P136" s="419" t="s">
        <v>1314</v>
      </c>
      <c r="Q136" s="422">
        <f>70.71+110.972+75.024+13.74</f>
        <v>270.44600000000003</v>
      </c>
      <c r="R136" s="425"/>
      <c r="S136" s="425"/>
      <c r="T136" s="881">
        <v>40828</v>
      </c>
      <c r="U136" s="444">
        <v>41274</v>
      </c>
      <c r="V136" s="425">
        <v>295.32514191780825</v>
      </c>
      <c r="W136" s="400">
        <f>Q136/V136</f>
        <v>0.91575677656075649</v>
      </c>
      <c r="X136" s="543" t="s">
        <v>1314</v>
      </c>
      <c r="Y136" s="445" t="s">
        <v>1772</v>
      </c>
      <c r="Z136" s="445" t="s">
        <v>1774</v>
      </c>
      <c r="AA136" s="431">
        <v>40560</v>
      </c>
      <c r="AB136" s="431"/>
      <c r="AC136" s="431">
        <v>40542</v>
      </c>
      <c r="AD136" s="431">
        <v>40350</v>
      </c>
      <c r="AE136" s="431"/>
      <c r="AF136" s="431"/>
      <c r="AG136" s="420"/>
      <c r="AH136" s="432">
        <v>0</v>
      </c>
      <c r="AI136" s="422"/>
      <c r="AJ136" s="420"/>
      <c r="AK136" s="420"/>
      <c r="AL136" s="420"/>
      <c r="AM136" s="420"/>
      <c r="AN136" s="420"/>
      <c r="AO136" s="419"/>
      <c r="AP136" s="530"/>
      <c r="AQ136" s="51"/>
      <c r="AR136" s="489"/>
      <c r="AS136" s="489"/>
      <c r="AT136" s="489"/>
      <c r="AU136" s="489"/>
      <c r="AV136" s="489"/>
    </row>
    <row r="137" spans="1:48" s="474" customFormat="1" ht="15.75" customHeight="1">
      <c r="A137" s="467" t="s">
        <v>2229</v>
      </c>
      <c r="B137" s="499" t="s">
        <v>2237</v>
      </c>
      <c r="C137" s="445" t="s">
        <v>2239</v>
      </c>
      <c r="D137" s="449" t="s">
        <v>1397</v>
      </c>
      <c r="E137" s="445" t="s">
        <v>2240</v>
      </c>
      <c r="F137" s="420">
        <v>1</v>
      </c>
      <c r="G137" s="420"/>
      <c r="H137" s="421" t="s">
        <v>968</v>
      </c>
      <c r="I137" s="455" t="s">
        <v>981</v>
      </c>
      <c r="J137" s="513" t="s">
        <v>1173</v>
      </c>
      <c r="K137" s="421" t="s">
        <v>2001</v>
      </c>
      <c r="L137" s="422">
        <v>50.387</v>
      </c>
      <c r="M137" s="423">
        <v>0</v>
      </c>
      <c r="N137" s="444">
        <v>40433</v>
      </c>
      <c r="O137" s="424">
        <v>130.63399999999999</v>
      </c>
      <c r="P137" s="419" t="s">
        <v>1732</v>
      </c>
      <c r="Q137" s="422">
        <f>21.653+62.249+58.513+14.063</f>
        <v>156.47799999999998</v>
      </c>
      <c r="R137" s="425"/>
      <c r="S137" s="425"/>
      <c r="T137" s="881">
        <v>40739</v>
      </c>
      <c r="U137" s="444">
        <v>40543</v>
      </c>
      <c r="V137" s="425">
        <v>15.185123287671232</v>
      </c>
      <c r="W137" s="400">
        <f>Q137/V137</f>
        <v>10.30469078423908</v>
      </c>
      <c r="X137" s="543" t="s">
        <v>1314</v>
      </c>
      <c r="Y137" s="445" t="s">
        <v>2712</v>
      </c>
      <c r="Z137" s="445" t="s">
        <v>1774</v>
      </c>
      <c r="AA137" s="431">
        <v>40560</v>
      </c>
      <c r="AB137" s="431"/>
      <c r="AC137" s="431">
        <v>40542</v>
      </c>
      <c r="AD137" s="431">
        <v>40375</v>
      </c>
      <c r="AE137" s="431"/>
      <c r="AF137" s="431"/>
      <c r="AG137" s="420"/>
      <c r="AH137" s="432">
        <v>0</v>
      </c>
      <c r="AI137" s="422"/>
      <c r="AJ137" s="420"/>
      <c r="AK137" s="420"/>
      <c r="AL137" s="420"/>
      <c r="AM137" s="420"/>
      <c r="AN137" s="420"/>
      <c r="AO137" s="419"/>
      <c r="AP137" s="530"/>
      <c r="AQ137" s="782"/>
      <c r="AR137" s="820"/>
      <c r="AS137" s="820"/>
      <c r="AT137" s="820"/>
      <c r="AU137" s="820"/>
      <c r="AV137" s="464"/>
    </row>
    <row r="138" spans="1:48" s="474" customFormat="1" ht="25.5">
      <c r="A138" s="467" t="s">
        <v>2231</v>
      </c>
      <c r="B138" s="499" t="s">
        <v>2245</v>
      </c>
      <c r="C138" s="445" t="s">
        <v>2243</v>
      </c>
      <c r="D138" s="449" t="s">
        <v>1397</v>
      </c>
      <c r="E138" s="445" t="s">
        <v>2244</v>
      </c>
      <c r="F138" s="420">
        <v>1</v>
      </c>
      <c r="G138" s="420"/>
      <c r="H138" s="421" t="s">
        <v>968</v>
      </c>
      <c r="I138" s="455" t="s">
        <v>911</v>
      </c>
      <c r="J138" s="507" t="s">
        <v>1069</v>
      </c>
      <c r="K138" s="421" t="s">
        <v>2001</v>
      </c>
      <c r="L138" s="422">
        <f>O138/3.25</f>
        <v>28.139384615384618</v>
      </c>
      <c r="M138" s="423">
        <v>0</v>
      </c>
      <c r="N138" s="444">
        <v>40066</v>
      </c>
      <c r="O138" s="424">
        <v>91.453000000000003</v>
      </c>
      <c r="P138" s="445" t="s">
        <v>728</v>
      </c>
      <c r="Q138" s="422">
        <f>9.531</f>
        <v>9.5310000000000006</v>
      </c>
      <c r="R138" s="425"/>
      <c r="S138" s="425"/>
      <c r="T138" s="881">
        <v>40813</v>
      </c>
      <c r="U138" s="444">
        <v>40544</v>
      </c>
      <c r="V138" s="425">
        <v>36.851029715489993</v>
      </c>
      <c r="W138" s="400">
        <f>Q138/V138</f>
        <v>0.2586359207214699</v>
      </c>
      <c r="X138" s="455" t="s">
        <v>1018</v>
      </c>
      <c r="Y138" s="445" t="s">
        <v>2291</v>
      </c>
      <c r="Z138" s="445" t="s">
        <v>2250</v>
      </c>
      <c r="AA138" s="431">
        <v>40569</v>
      </c>
      <c r="AB138" s="431"/>
      <c r="AC138" s="431">
        <v>40562</v>
      </c>
      <c r="AD138" s="431">
        <v>40224</v>
      </c>
      <c r="AE138" s="431"/>
      <c r="AF138" s="431"/>
      <c r="AG138" s="420"/>
      <c r="AH138" s="432">
        <v>0</v>
      </c>
      <c r="AI138" s="422"/>
      <c r="AJ138" s="420"/>
      <c r="AK138" s="420"/>
      <c r="AL138" s="420"/>
      <c r="AM138" s="420"/>
      <c r="AN138" s="420"/>
      <c r="AO138" s="419"/>
      <c r="AP138" s="530"/>
      <c r="AQ138" s="466"/>
      <c r="AR138" s="820"/>
      <c r="AS138" s="820"/>
      <c r="AT138" s="820"/>
      <c r="AU138" s="820"/>
      <c r="AV138" s="464"/>
    </row>
    <row r="139" spans="1:48" s="474" customFormat="1" ht="14.25" customHeight="1">
      <c r="A139" s="467" t="s">
        <v>2434</v>
      </c>
      <c r="B139" s="499" t="s">
        <v>2465</v>
      </c>
      <c r="C139" s="445" t="s">
        <v>2403</v>
      </c>
      <c r="D139" s="449" t="s">
        <v>1397</v>
      </c>
      <c r="E139" s="445" t="s">
        <v>2429</v>
      </c>
      <c r="F139" s="420">
        <v>1</v>
      </c>
      <c r="G139" s="420"/>
      <c r="H139" s="421" t="s">
        <v>968</v>
      </c>
      <c r="I139" s="455" t="s">
        <v>981</v>
      </c>
      <c r="J139" s="513" t="s">
        <v>1173</v>
      </c>
      <c r="K139" s="421" t="s">
        <v>2001</v>
      </c>
      <c r="L139" s="432">
        <f>O139/5</f>
        <v>17.571999999999999</v>
      </c>
      <c r="M139" s="423">
        <f>O139/1.75</f>
        <v>50.205714285714286</v>
      </c>
      <c r="N139" s="444">
        <v>40817</v>
      </c>
      <c r="O139" s="424">
        <v>87.86</v>
      </c>
      <c r="P139" s="445" t="s">
        <v>728</v>
      </c>
      <c r="Q139" s="422">
        <v>30.085999999999999</v>
      </c>
      <c r="R139" s="425"/>
      <c r="S139" s="425"/>
      <c r="T139" s="881">
        <v>41178</v>
      </c>
      <c r="U139" s="444">
        <v>41090</v>
      </c>
      <c r="V139" s="425">
        <v>-66.691823756802407</v>
      </c>
      <c r="W139" s="400">
        <f>Q139/V139</f>
        <v>-0.45111976709035939</v>
      </c>
      <c r="X139" s="545" t="s">
        <v>728</v>
      </c>
      <c r="Y139" s="445" t="s">
        <v>2430</v>
      </c>
      <c r="Z139" s="445" t="s">
        <v>2431</v>
      </c>
      <c r="AA139" s="431">
        <v>40641</v>
      </c>
      <c r="AB139" s="431"/>
      <c r="AC139" s="431">
        <v>40627</v>
      </c>
      <c r="AD139" s="431">
        <v>40588</v>
      </c>
      <c r="AE139" s="431"/>
      <c r="AF139" s="431"/>
      <c r="AG139" s="420"/>
      <c r="AH139" s="432"/>
      <c r="AI139" s="422"/>
      <c r="AJ139" s="420"/>
      <c r="AK139" s="420"/>
      <c r="AL139" s="420"/>
      <c r="AM139" s="420"/>
      <c r="AN139" s="420"/>
      <c r="AO139" s="419"/>
      <c r="AP139" s="530"/>
      <c r="AQ139" s="782"/>
      <c r="AR139" s="489"/>
      <c r="AS139" s="489"/>
      <c r="AT139" s="489"/>
      <c r="AU139" s="489"/>
      <c r="AV139" s="489"/>
    </row>
    <row r="140" spans="1:48" s="474" customFormat="1" ht="27" customHeight="1">
      <c r="A140" s="51" t="s">
        <v>1501</v>
      </c>
      <c r="B140" s="59" t="s">
        <v>536</v>
      </c>
      <c r="C140" s="405" t="s">
        <v>402</v>
      </c>
      <c r="D140" s="392" t="s">
        <v>558</v>
      </c>
      <c r="E140" s="391" t="s">
        <v>94</v>
      </c>
      <c r="F140" s="392">
        <v>1</v>
      </c>
      <c r="G140" s="392"/>
      <c r="H140" s="393" t="s">
        <v>968</v>
      </c>
      <c r="I140" s="394" t="s">
        <v>845</v>
      </c>
      <c r="J140" s="391" t="s">
        <v>346</v>
      </c>
      <c r="K140" s="490" t="s">
        <v>2001</v>
      </c>
      <c r="L140" s="395">
        <v>64.215999999999994</v>
      </c>
      <c r="M140" s="396">
        <v>0</v>
      </c>
      <c r="N140" s="397">
        <v>39448</v>
      </c>
      <c r="O140" s="398">
        <f>L140*5</f>
        <v>321.08</v>
      </c>
      <c r="P140" s="391" t="s">
        <v>1314</v>
      </c>
      <c r="Q140" s="395">
        <f>46.444+30.602</f>
        <v>77.046000000000006</v>
      </c>
      <c r="R140" s="399"/>
      <c r="S140" s="399"/>
      <c r="T140" s="879">
        <v>40493</v>
      </c>
      <c r="U140" s="397">
        <v>40724</v>
      </c>
      <c r="V140" s="399">
        <v>224.49209863013695</v>
      </c>
      <c r="W140" s="400">
        <f>Q140/V140</f>
        <v>0.34320138869091121</v>
      </c>
      <c r="X140" s="404" t="s">
        <v>1314</v>
      </c>
      <c r="Y140" s="391" t="s">
        <v>425</v>
      </c>
      <c r="Z140" s="391" t="s">
        <v>404</v>
      </c>
      <c r="AA140" s="402">
        <v>39681</v>
      </c>
      <c r="AB140" s="402"/>
      <c r="AC140" s="401">
        <v>38454</v>
      </c>
      <c r="AD140" s="401">
        <v>38122</v>
      </c>
      <c r="AE140" s="402">
        <v>38454</v>
      </c>
      <c r="AF140" s="401"/>
      <c r="AG140" s="390"/>
      <c r="AH140" s="390">
        <v>2.7</v>
      </c>
      <c r="AI140" s="395">
        <f>17555/AH140</f>
        <v>6501.8518518518513</v>
      </c>
      <c r="AJ140" s="395"/>
      <c r="AK140" s="395"/>
      <c r="AL140" s="395"/>
      <c r="AM140" s="390"/>
      <c r="AN140" s="395"/>
      <c r="AO140" s="391"/>
      <c r="AP140" s="735"/>
      <c r="AQ140" s="51"/>
    </row>
    <row r="141" spans="1:48" s="474" customFormat="1" ht="27" customHeight="1">
      <c r="A141" s="51" t="s">
        <v>1502</v>
      </c>
      <c r="B141" s="59" t="s">
        <v>537</v>
      </c>
      <c r="C141" s="405" t="s">
        <v>403</v>
      </c>
      <c r="D141" s="392" t="s">
        <v>558</v>
      </c>
      <c r="E141" s="391" t="s">
        <v>94</v>
      </c>
      <c r="F141" s="392">
        <v>1</v>
      </c>
      <c r="G141" s="392"/>
      <c r="H141" s="393" t="s">
        <v>968</v>
      </c>
      <c r="I141" s="394" t="s">
        <v>845</v>
      </c>
      <c r="J141" s="392" t="s">
        <v>346</v>
      </c>
      <c r="K141" s="533" t="s">
        <v>2001</v>
      </c>
      <c r="L141" s="395">
        <v>86.9</v>
      </c>
      <c r="M141" s="396">
        <v>0</v>
      </c>
      <c r="N141" s="397">
        <v>39448</v>
      </c>
      <c r="O141" s="398">
        <f>L141*5</f>
        <v>434.5</v>
      </c>
      <c r="P141" s="391" t="s">
        <v>1314</v>
      </c>
      <c r="Q141" s="395"/>
      <c r="R141" s="391"/>
      <c r="S141" s="391"/>
      <c r="T141" s="879"/>
      <c r="U141" s="397"/>
      <c r="V141" s="399"/>
      <c r="W141" s="400"/>
      <c r="X141" s="545"/>
      <c r="Y141" s="391" t="s">
        <v>1084</v>
      </c>
      <c r="Z141" s="391" t="s">
        <v>404</v>
      </c>
      <c r="AA141" s="402">
        <v>39681</v>
      </c>
      <c r="AB141" s="402"/>
      <c r="AC141" s="401">
        <v>38454</v>
      </c>
      <c r="AD141" s="401">
        <v>38442</v>
      </c>
      <c r="AE141" s="402">
        <v>38454</v>
      </c>
      <c r="AF141" s="401"/>
      <c r="AG141" s="390"/>
      <c r="AH141" s="390">
        <v>4.07</v>
      </c>
      <c r="AI141" s="395">
        <f>24408/AH141</f>
        <v>5997.0515970515962</v>
      </c>
      <c r="AJ141" s="395"/>
      <c r="AK141" s="399"/>
      <c r="AL141" s="399"/>
      <c r="AM141" s="390"/>
      <c r="AN141" s="395"/>
      <c r="AO141" s="391" t="s">
        <v>405</v>
      </c>
      <c r="AP141" s="735"/>
      <c r="AQ141" s="51"/>
      <c r="AR141" s="489"/>
      <c r="AS141" s="489"/>
      <c r="AT141" s="489"/>
      <c r="AU141" s="489"/>
      <c r="AV141" s="489"/>
    </row>
    <row r="142" spans="1:48" s="474" customFormat="1" ht="27.75" customHeight="1">
      <c r="A142" s="51" t="s">
        <v>667</v>
      </c>
      <c r="B142" s="59" t="s">
        <v>538</v>
      </c>
      <c r="C142" s="405" t="s">
        <v>670</v>
      </c>
      <c r="D142" s="392" t="s">
        <v>558</v>
      </c>
      <c r="E142" s="391" t="s">
        <v>94</v>
      </c>
      <c r="F142" s="392">
        <v>1</v>
      </c>
      <c r="G142" s="984" t="s">
        <v>2777</v>
      </c>
      <c r="H142" s="393" t="s">
        <v>968</v>
      </c>
      <c r="I142" s="394" t="s">
        <v>981</v>
      </c>
      <c r="J142" s="377" t="s">
        <v>1172</v>
      </c>
      <c r="K142" s="393" t="s">
        <v>671</v>
      </c>
      <c r="L142" s="395">
        <v>858.47299999999996</v>
      </c>
      <c r="M142" s="396">
        <v>0</v>
      </c>
      <c r="N142" s="397">
        <v>39780</v>
      </c>
      <c r="O142" s="398">
        <f>L142*3.833</f>
        <v>3290.5270089999999</v>
      </c>
      <c r="P142" s="391" t="s">
        <v>1732</v>
      </c>
      <c r="Q142" s="395">
        <f>143.426+205.723+208.567+264.596+178.359+213.574+212.93+192.915+0.274+143.773+227.224+212.782+165.284+67.812+119.009+242.439+203.59+186.251+56.549</f>
        <v>3245.0770000000002</v>
      </c>
      <c r="R142" s="399"/>
      <c r="S142" s="399"/>
      <c r="T142" s="879">
        <v>40091</v>
      </c>
      <c r="U142" s="878">
        <v>41249</v>
      </c>
      <c r="V142" s="399">
        <v>3455.0598273972601</v>
      </c>
      <c r="W142" s="400">
        <f t="shared" ref="W142:W151" si="8">Q142/V142</f>
        <v>0.93922454663963295</v>
      </c>
      <c r="X142" s="545" t="s">
        <v>1732</v>
      </c>
      <c r="Y142" s="391" t="s">
        <v>3309</v>
      </c>
      <c r="Z142" s="452" t="s">
        <v>672</v>
      </c>
      <c r="AA142" s="494">
        <v>39402</v>
      </c>
      <c r="AB142" s="402">
        <v>39681</v>
      </c>
      <c r="AC142" s="402">
        <v>39556</v>
      </c>
      <c r="AD142" s="401">
        <v>39493</v>
      </c>
      <c r="AE142" s="402">
        <v>39556</v>
      </c>
      <c r="AF142" s="401"/>
      <c r="AG142" s="390"/>
      <c r="AH142" s="390">
        <v>0</v>
      </c>
      <c r="AI142" s="395"/>
      <c r="AJ142" s="395"/>
      <c r="AK142" s="395"/>
      <c r="AL142" s="395"/>
      <c r="AM142" s="390"/>
      <c r="AN142" s="395"/>
      <c r="AO142" s="391"/>
      <c r="AP142" s="463"/>
      <c r="AQ142" s="51"/>
      <c r="AR142" s="464"/>
      <c r="AS142" s="464"/>
      <c r="AT142" s="464"/>
      <c r="AU142" s="464"/>
      <c r="AV142" s="464"/>
    </row>
    <row r="143" spans="1:48" s="474" customFormat="1" ht="25.5">
      <c r="A143" s="51" t="s">
        <v>400</v>
      </c>
      <c r="B143" s="59" t="s">
        <v>539</v>
      </c>
      <c r="C143" s="405" t="s">
        <v>406</v>
      </c>
      <c r="D143" s="392" t="s">
        <v>558</v>
      </c>
      <c r="E143" s="391" t="s">
        <v>407</v>
      </c>
      <c r="F143" s="392">
        <v>1</v>
      </c>
      <c r="G143" s="392"/>
      <c r="H143" s="393" t="s">
        <v>968</v>
      </c>
      <c r="I143" s="394" t="s">
        <v>981</v>
      </c>
      <c r="J143" s="377" t="s">
        <v>1172</v>
      </c>
      <c r="K143" s="393" t="s">
        <v>671</v>
      </c>
      <c r="L143" s="395">
        <f>O143/3.25</f>
        <v>2266.2273846153844</v>
      </c>
      <c r="M143" s="396">
        <v>0</v>
      </c>
      <c r="N143" s="397">
        <v>40100</v>
      </c>
      <c r="O143" s="398">
        <v>7365.2389999999996</v>
      </c>
      <c r="P143" s="391" t="s">
        <v>1732</v>
      </c>
      <c r="Q143" s="395">
        <f>339.755+1639.994+416.735+1019.118+811.165+251.675+772.332+374.036+243.824+272.082</f>
        <v>6140.7160000000003</v>
      </c>
      <c r="R143" s="399"/>
      <c r="S143" s="399"/>
      <c r="T143" s="879">
        <v>40459</v>
      </c>
      <c r="U143" s="397">
        <v>41274</v>
      </c>
      <c r="V143" s="399">
        <v>7289.1806836670166</v>
      </c>
      <c r="W143" s="400">
        <f t="shared" si="8"/>
        <v>0.84244255513649158</v>
      </c>
      <c r="X143" s="404" t="s">
        <v>1732</v>
      </c>
      <c r="Y143" s="452" t="s">
        <v>2525</v>
      </c>
      <c r="Z143" s="452" t="s">
        <v>672</v>
      </c>
      <c r="AA143" s="402">
        <v>39682</v>
      </c>
      <c r="AB143" s="402"/>
      <c r="AC143" s="402">
        <v>39666</v>
      </c>
      <c r="AD143" s="401">
        <v>39567</v>
      </c>
      <c r="AE143" s="402">
        <v>39666</v>
      </c>
      <c r="AF143" s="401"/>
      <c r="AG143" s="390"/>
      <c r="AH143" s="390">
        <v>0</v>
      </c>
      <c r="AI143" s="395"/>
      <c r="AJ143" s="395"/>
      <c r="AK143" s="395"/>
      <c r="AL143" s="395"/>
      <c r="AM143" s="390"/>
      <c r="AN143" s="395"/>
      <c r="AO143" s="391"/>
      <c r="AP143" s="735"/>
      <c r="AQ143" s="51"/>
      <c r="AR143" s="62"/>
      <c r="AS143" s="62"/>
      <c r="AT143" s="62"/>
      <c r="AU143" s="62"/>
      <c r="AV143" s="62"/>
    </row>
    <row r="144" spans="1:48" s="474" customFormat="1" ht="12.75" customHeight="1">
      <c r="A144" s="51" t="s">
        <v>921</v>
      </c>
      <c r="B144" s="59" t="s">
        <v>923</v>
      </c>
      <c r="C144" s="405" t="s">
        <v>956</v>
      </c>
      <c r="D144" s="392" t="s">
        <v>558</v>
      </c>
      <c r="E144" s="391" t="s">
        <v>407</v>
      </c>
      <c r="F144" s="392">
        <v>1</v>
      </c>
      <c r="G144" s="392"/>
      <c r="H144" s="393" t="s">
        <v>968</v>
      </c>
      <c r="I144" s="394" t="s">
        <v>981</v>
      </c>
      <c r="J144" s="391" t="s">
        <v>1173</v>
      </c>
      <c r="K144" s="393" t="s">
        <v>4</v>
      </c>
      <c r="L144" s="395">
        <v>288.584</v>
      </c>
      <c r="M144" s="396">
        <v>0</v>
      </c>
      <c r="N144" s="397">
        <v>39598</v>
      </c>
      <c r="O144" s="398">
        <f>L144*5</f>
        <v>1442.92</v>
      </c>
      <c r="P144" s="391" t="s">
        <v>1732</v>
      </c>
      <c r="Q144" s="395">
        <f>127.324+231.436+197.385</f>
        <v>556.14499999999998</v>
      </c>
      <c r="R144" s="399"/>
      <c r="S144" s="399"/>
      <c r="T144" s="879">
        <v>40595</v>
      </c>
      <c r="U144" s="397">
        <v>40908</v>
      </c>
      <c r="V144" s="399">
        <v>1035.7398356164383</v>
      </c>
      <c r="W144" s="400">
        <f t="shared" si="8"/>
        <v>0.53695434014952292</v>
      </c>
      <c r="X144" s="545" t="s">
        <v>1732</v>
      </c>
      <c r="Y144" s="452" t="s">
        <v>2525</v>
      </c>
      <c r="Z144" s="391" t="s">
        <v>408</v>
      </c>
      <c r="AA144" s="402">
        <v>39794</v>
      </c>
      <c r="AB144" s="402"/>
      <c r="AC144" s="401"/>
      <c r="AD144" s="401"/>
      <c r="AE144" s="402">
        <v>39790</v>
      </c>
      <c r="AF144" s="401"/>
      <c r="AG144" s="390"/>
      <c r="AH144" s="390">
        <v>0</v>
      </c>
      <c r="AI144" s="395"/>
      <c r="AJ144" s="395"/>
      <c r="AK144" s="395"/>
      <c r="AL144" s="395"/>
      <c r="AM144" s="390"/>
      <c r="AN144" s="395"/>
      <c r="AO144" s="391"/>
      <c r="AP144" s="735"/>
      <c r="AQ144" s="51"/>
      <c r="AR144" s="489"/>
      <c r="AS144" s="489"/>
      <c r="AT144" s="489"/>
      <c r="AU144" s="489"/>
      <c r="AV144" s="489"/>
    </row>
    <row r="145" spans="1:48" s="474" customFormat="1">
      <c r="A145" s="51" t="s">
        <v>781</v>
      </c>
      <c r="B145" s="59" t="s">
        <v>782</v>
      </c>
      <c r="C145" s="391" t="s">
        <v>783</v>
      </c>
      <c r="D145" s="392" t="s">
        <v>558</v>
      </c>
      <c r="E145" s="391" t="s">
        <v>784</v>
      </c>
      <c r="F145" s="392">
        <v>1</v>
      </c>
      <c r="G145" s="392"/>
      <c r="H145" s="393" t="s">
        <v>968</v>
      </c>
      <c r="I145" s="394" t="s">
        <v>845</v>
      </c>
      <c r="J145" s="391" t="s">
        <v>346</v>
      </c>
      <c r="K145" s="393" t="s">
        <v>842</v>
      </c>
      <c r="L145" s="395">
        <v>9.7910000000000004</v>
      </c>
      <c r="M145" s="396">
        <v>0</v>
      </c>
      <c r="N145" s="397">
        <v>39900</v>
      </c>
      <c r="O145" s="398">
        <f>L145*4</f>
        <v>39.164000000000001</v>
      </c>
      <c r="P145" s="391" t="s">
        <v>1732</v>
      </c>
      <c r="Q145" s="395">
        <f>5.996+12.363</f>
        <v>18.359000000000002</v>
      </c>
      <c r="R145" s="399"/>
      <c r="S145" s="399"/>
      <c r="T145" s="879">
        <v>40697</v>
      </c>
      <c r="U145" s="397">
        <v>41274</v>
      </c>
      <c r="V145" s="399">
        <v>36.857079452054798</v>
      </c>
      <c r="W145" s="400">
        <f t="shared" si="8"/>
        <v>0.49811326000157291</v>
      </c>
      <c r="X145" s="545" t="s">
        <v>1314</v>
      </c>
      <c r="Y145" s="391" t="s">
        <v>1084</v>
      </c>
      <c r="Z145" s="391" t="s">
        <v>408</v>
      </c>
      <c r="AA145" s="402">
        <v>40028</v>
      </c>
      <c r="AB145" s="402"/>
      <c r="AC145" s="401">
        <v>40025</v>
      </c>
      <c r="AD145" s="401">
        <v>39904</v>
      </c>
      <c r="AE145" s="401"/>
      <c r="AF145" s="401"/>
      <c r="AG145" s="390"/>
      <c r="AH145" s="390">
        <v>0</v>
      </c>
      <c r="AI145" s="395"/>
      <c r="AJ145" s="390"/>
      <c r="AK145" s="390"/>
      <c r="AL145" s="390"/>
      <c r="AM145" s="390"/>
      <c r="AN145" s="390"/>
      <c r="AO145" s="391"/>
      <c r="AP145" s="514"/>
      <c r="AQ145" s="51"/>
    </row>
    <row r="146" spans="1:48" s="474" customFormat="1" ht="29.25" customHeight="1">
      <c r="A146" s="51" t="s">
        <v>1421</v>
      </c>
      <c r="B146" s="63" t="s">
        <v>1443</v>
      </c>
      <c r="C146" s="391" t="s">
        <v>1444</v>
      </c>
      <c r="D146" s="392" t="s">
        <v>558</v>
      </c>
      <c r="E146" s="391" t="s">
        <v>695</v>
      </c>
      <c r="F146" s="392">
        <v>1</v>
      </c>
      <c r="G146" s="392"/>
      <c r="H146" s="393" t="s">
        <v>968</v>
      </c>
      <c r="I146" s="861" t="s">
        <v>2318</v>
      </c>
      <c r="J146" s="392" t="s">
        <v>753</v>
      </c>
      <c r="K146" s="393" t="s">
        <v>696</v>
      </c>
      <c r="L146" s="395">
        <v>103.45399999999999</v>
      </c>
      <c r="M146" s="396">
        <v>24</v>
      </c>
      <c r="N146" s="397">
        <v>40360</v>
      </c>
      <c r="O146" s="398">
        <v>465.541</v>
      </c>
      <c r="P146" s="391" t="s">
        <v>1732</v>
      </c>
      <c r="Q146" s="395">
        <v>259.83199999999999</v>
      </c>
      <c r="R146" s="399"/>
      <c r="S146" s="399"/>
      <c r="T146" s="879">
        <v>41305</v>
      </c>
      <c r="U146" s="397">
        <v>41274</v>
      </c>
      <c r="V146" s="399">
        <v>184.0603560893226</v>
      </c>
      <c r="W146" s="400">
        <f t="shared" si="8"/>
        <v>1.4116673765093999</v>
      </c>
      <c r="X146" s="404" t="s">
        <v>1314</v>
      </c>
      <c r="Y146" s="391" t="s">
        <v>821</v>
      </c>
      <c r="Z146" s="405" t="s">
        <v>1084</v>
      </c>
      <c r="AA146" s="1062">
        <v>40169</v>
      </c>
      <c r="AB146" s="402"/>
      <c r="AC146" s="401">
        <v>39772</v>
      </c>
      <c r="AD146" s="401">
        <v>39825</v>
      </c>
      <c r="AE146" s="401"/>
      <c r="AF146" s="401"/>
      <c r="AG146" s="390"/>
      <c r="AH146" s="390">
        <v>0</v>
      </c>
      <c r="AI146" s="395"/>
      <c r="AJ146" s="434"/>
      <c r="AK146" s="390"/>
      <c r="AL146" s="395"/>
      <c r="AM146" s="390"/>
      <c r="AN146" s="390"/>
      <c r="AO146" s="391"/>
      <c r="AP146" s="514"/>
      <c r="AQ146" s="51"/>
    </row>
    <row r="147" spans="1:48" s="474" customFormat="1" ht="25.5">
      <c r="A147" s="466" t="s">
        <v>1975</v>
      </c>
      <c r="B147" s="499" t="s">
        <v>1963</v>
      </c>
      <c r="C147" s="445" t="s">
        <v>1962</v>
      </c>
      <c r="D147" s="449" t="s">
        <v>558</v>
      </c>
      <c r="E147" s="419" t="s">
        <v>1978</v>
      </c>
      <c r="F147" s="420">
        <v>1</v>
      </c>
      <c r="G147" s="420"/>
      <c r="H147" s="421" t="s">
        <v>968</v>
      </c>
      <c r="I147" s="455" t="s">
        <v>981</v>
      </c>
      <c r="J147" s="419" t="s">
        <v>1173</v>
      </c>
      <c r="K147" s="450" t="s">
        <v>1980</v>
      </c>
      <c r="L147" s="422">
        <v>168.465</v>
      </c>
      <c r="M147" s="423">
        <v>70</v>
      </c>
      <c r="N147" s="479">
        <v>39759</v>
      </c>
      <c r="O147" s="424">
        <v>679.85900000000004</v>
      </c>
      <c r="P147" s="419" t="s">
        <v>1732</v>
      </c>
      <c r="Q147" s="422">
        <f>3.909+73.34+14.626+26.178+244.102+150.729+171.165</f>
        <v>684.04899999999998</v>
      </c>
      <c r="R147" s="425"/>
      <c r="S147" s="425"/>
      <c r="T147" s="881">
        <v>40498</v>
      </c>
      <c r="U147" s="444">
        <v>41274</v>
      </c>
      <c r="V147" s="425">
        <v>575.86176299493354</v>
      </c>
      <c r="W147" s="400">
        <f t="shared" si="8"/>
        <v>1.1878701521045743</v>
      </c>
      <c r="X147" s="404" t="s">
        <v>1732</v>
      </c>
      <c r="Y147" s="445" t="s">
        <v>1397</v>
      </c>
      <c r="Z147" s="391" t="s">
        <v>408</v>
      </c>
      <c r="AA147" s="430">
        <v>40388</v>
      </c>
      <c r="AB147" s="430"/>
      <c r="AC147" s="431">
        <v>40375</v>
      </c>
      <c r="AD147" s="431"/>
      <c r="AE147" s="431"/>
      <c r="AF147" s="431"/>
      <c r="AG147" s="432"/>
      <c r="AH147" s="432">
        <v>0</v>
      </c>
      <c r="AI147" s="422"/>
      <c r="AJ147" s="432"/>
      <c r="AK147" s="432"/>
      <c r="AL147" s="432"/>
      <c r="AM147" s="432"/>
      <c r="AN147" s="432"/>
      <c r="AO147" s="419"/>
      <c r="AP147" s="463"/>
      <c r="AQ147" s="51"/>
    </row>
    <row r="148" spans="1:48" s="474" customFormat="1">
      <c r="A148" s="467" t="s">
        <v>2024</v>
      </c>
      <c r="B148" s="499" t="s">
        <v>2028</v>
      </c>
      <c r="C148" s="445" t="s">
        <v>2030</v>
      </c>
      <c r="D148" s="449" t="s">
        <v>558</v>
      </c>
      <c r="E148" s="480" t="s">
        <v>2072</v>
      </c>
      <c r="F148" s="420">
        <v>1</v>
      </c>
      <c r="G148" s="420"/>
      <c r="H148" s="421" t="s">
        <v>968</v>
      </c>
      <c r="I148" s="455" t="s">
        <v>981</v>
      </c>
      <c r="J148" s="420" t="s">
        <v>1173</v>
      </c>
      <c r="K148" s="421" t="s">
        <v>1084</v>
      </c>
      <c r="L148" s="422">
        <v>379.42399999999998</v>
      </c>
      <c r="M148" s="423">
        <v>0</v>
      </c>
      <c r="N148" s="479">
        <v>39934</v>
      </c>
      <c r="O148" s="424">
        <v>569.13599999999997</v>
      </c>
      <c r="P148" s="419" t="s">
        <v>1732</v>
      </c>
      <c r="Q148" s="422">
        <f>391.746+234.894+152.224+117.882</f>
        <v>896.74600000000009</v>
      </c>
      <c r="R148" s="425"/>
      <c r="S148" s="425"/>
      <c r="T148" s="881">
        <v>40753</v>
      </c>
      <c r="U148" s="444">
        <v>41274</v>
      </c>
      <c r="V148" s="425">
        <v>1392.9538630136985</v>
      </c>
      <c r="W148" s="400">
        <f t="shared" si="8"/>
        <v>0.64377293736051133</v>
      </c>
      <c r="X148" s="404" t="s">
        <v>1314</v>
      </c>
      <c r="Y148" s="445" t="s">
        <v>3310</v>
      </c>
      <c r="Z148" s="532" t="s">
        <v>1084</v>
      </c>
      <c r="AA148" s="430">
        <v>40431</v>
      </c>
      <c r="AB148" s="430"/>
      <c r="AC148" s="431">
        <v>40427</v>
      </c>
      <c r="AD148" s="431">
        <v>40074</v>
      </c>
      <c r="AE148" s="431"/>
      <c r="AF148" s="431"/>
      <c r="AG148" s="432"/>
      <c r="AH148" s="432">
        <v>0</v>
      </c>
      <c r="AI148" s="422"/>
      <c r="AJ148" s="432"/>
      <c r="AK148" s="432"/>
      <c r="AL148" s="432"/>
      <c r="AM148" s="432"/>
      <c r="AN148" s="432"/>
      <c r="AO148" s="419"/>
      <c r="AP148" s="463"/>
      <c r="AQ148" s="51"/>
      <c r="AR148" s="820"/>
      <c r="AS148" s="820"/>
      <c r="AT148" s="820"/>
      <c r="AU148" s="820"/>
      <c r="AV148" s="464"/>
    </row>
    <row r="149" spans="1:48" s="474" customFormat="1" ht="27" customHeight="1">
      <c r="A149" s="467" t="s">
        <v>2025</v>
      </c>
      <c r="B149" s="499" t="s">
        <v>2029</v>
      </c>
      <c r="C149" s="445" t="s">
        <v>2031</v>
      </c>
      <c r="D149" s="449" t="s">
        <v>558</v>
      </c>
      <c r="E149" s="480" t="s">
        <v>2072</v>
      </c>
      <c r="F149" s="420">
        <v>1</v>
      </c>
      <c r="G149" s="420"/>
      <c r="H149" s="421" t="s">
        <v>968</v>
      </c>
      <c r="I149" s="455" t="s">
        <v>981</v>
      </c>
      <c r="J149" s="725" t="s">
        <v>1173</v>
      </c>
      <c r="K149" s="421" t="s">
        <v>4</v>
      </c>
      <c r="L149" s="422">
        <v>166.386</v>
      </c>
      <c r="M149" s="423">
        <v>0</v>
      </c>
      <c r="N149" s="479">
        <v>39722</v>
      </c>
      <c r="O149" s="424">
        <v>707.13900000000001</v>
      </c>
      <c r="P149" s="419" t="s">
        <v>1732</v>
      </c>
      <c r="Q149" s="422">
        <f>576.98+214.865+278.6+145.91</f>
        <v>1216.3550000000002</v>
      </c>
      <c r="R149" s="425"/>
      <c r="S149" s="425"/>
      <c r="T149" s="881">
        <v>40745</v>
      </c>
      <c r="U149" s="444">
        <v>41274</v>
      </c>
      <c r="V149" s="425">
        <v>707.48238904109587</v>
      </c>
      <c r="W149" s="400">
        <f t="shared" si="8"/>
        <v>1.7192724777907444</v>
      </c>
      <c r="X149" s="545" t="s">
        <v>1314</v>
      </c>
      <c r="Y149" s="445" t="s">
        <v>2084</v>
      </c>
      <c r="Z149" s="532" t="s">
        <v>1084</v>
      </c>
      <c r="AA149" s="430">
        <v>40431</v>
      </c>
      <c r="AB149" s="430"/>
      <c r="AC149" s="431">
        <v>40417</v>
      </c>
      <c r="AD149" s="431">
        <v>40074</v>
      </c>
      <c r="AE149" s="431"/>
      <c r="AF149" s="431"/>
      <c r="AG149" s="432"/>
      <c r="AH149" s="432">
        <v>0</v>
      </c>
      <c r="AI149" s="422"/>
      <c r="AJ149" s="432"/>
      <c r="AK149" s="432"/>
      <c r="AL149" s="432"/>
      <c r="AM149" s="432"/>
      <c r="AN149" s="432"/>
      <c r="AO149" s="419"/>
      <c r="AP149" s="463"/>
      <c r="AQ149" s="51"/>
    </row>
    <row r="150" spans="1:48" s="474" customFormat="1" ht="13.5" customHeight="1">
      <c r="A150" s="467" t="s">
        <v>2133</v>
      </c>
      <c r="B150" s="756" t="s">
        <v>2135</v>
      </c>
      <c r="C150" s="445" t="s">
        <v>2137</v>
      </c>
      <c r="D150" s="449" t="s">
        <v>558</v>
      </c>
      <c r="E150" s="445" t="s">
        <v>94</v>
      </c>
      <c r="F150" s="802">
        <v>1</v>
      </c>
      <c r="G150" s="802"/>
      <c r="H150" s="490" t="s">
        <v>968</v>
      </c>
      <c r="I150" s="455" t="s">
        <v>981</v>
      </c>
      <c r="J150" s="725" t="s">
        <v>1173</v>
      </c>
      <c r="K150" s="844" t="s">
        <v>4</v>
      </c>
      <c r="L150" s="845">
        <v>32.393999999999998</v>
      </c>
      <c r="M150" s="505">
        <v>-11.5</v>
      </c>
      <c r="N150" s="479">
        <v>40170</v>
      </c>
      <c r="O150" s="804">
        <v>97.180999999999997</v>
      </c>
      <c r="P150" s="419" t="s">
        <v>1314</v>
      </c>
      <c r="Q150" s="845">
        <f>49.375+43.623+24.958</f>
        <v>117.95599999999999</v>
      </c>
      <c r="R150" s="478"/>
      <c r="S150" s="478"/>
      <c r="T150" s="880">
        <v>40681</v>
      </c>
      <c r="U150" s="444">
        <v>41274</v>
      </c>
      <c r="V150" s="478">
        <v>132.33547937699379</v>
      </c>
      <c r="W150" s="400">
        <f t="shared" si="8"/>
        <v>0.8913407088961387</v>
      </c>
      <c r="X150" s="545" t="s">
        <v>1314</v>
      </c>
      <c r="Y150" s="532" t="s">
        <v>1397</v>
      </c>
      <c r="Z150" s="532" t="s">
        <v>408</v>
      </c>
      <c r="AA150" s="805">
        <v>40507</v>
      </c>
      <c r="AB150" s="805"/>
      <c r="AC150" s="805">
        <v>40500</v>
      </c>
      <c r="AD150" s="805">
        <v>40416</v>
      </c>
      <c r="AE150" s="805"/>
      <c r="AF150" s="805"/>
      <c r="AG150" s="802"/>
      <c r="AH150" s="803">
        <v>0</v>
      </c>
      <c r="AI150" s="802"/>
      <c r="AJ150" s="802"/>
      <c r="AK150" s="802"/>
      <c r="AL150" s="802"/>
      <c r="AM150" s="802"/>
      <c r="AN150" s="802"/>
      <c r="AO150" s="480"/>
      <c r="AP150" s="818"/>
      <c r="AQ150" s="782"/>
    </row>
    <row r="151" spans="1:48" s="474" customFormat="1" ht="13.5" customHeight="1">
      <c r="A151" s="467" t="s">
        <v>2703</v>
      </c>
      <c r="B151" s="468" t="s">
        <v>2883</v>
      </c>
      <c r="C151" s="445" t="s">
        <v>2706</v>
      </c>
      <c r="D151" s="449" t="s">
        <v>558</v>
      </c>
      <c r="E151" s="445" t="s">
        <v>2705</v>
      </c>
      <c r="F151" s="420">
        <v>1</v>
      </c>
      <c r="G151" s="420"/>
      <c r="H151" s="421" t="s">
        <v>968</v>
      </c>
      <c r="I151" s="448" t="s">
        <v>981</v>
      </c>
      <c r="J151" s="420" t="s">
        <v>1173</v>
      </c>
      <c r="K151" s="450" t="s">
        <v>1980</v>
      </c>
      <c r="L151" s="432">
        <v>50.561</v>
      </c>
      <c r="M151" s="423">
        <v>0</v>
      </c>
      <c r="N151" s="444">
        <v>39632</v>
      </c>
      <c r="O151" s="424">
        <f>L151*4.5</f>
        <v>227.52449999999999</v>
      </c>
      <c r="P151" s="727" t="s">
        <v>1732</v>
      </c>
      <c r="Q151" s="422">
        <v>289.80799999999999</v>
      </c>
      <c r="R151" s="425"/>
      <c r="S151" s="425"/>
      <c r="T151" s="881">
        <v>41360</v>
      </c>
      <c r="U151" s="444">
        <v>41274</v>
      </c>
      <c r="V151" s="425">
        <v>227.45523835616441</v>
      </c>
      <c r="W151" s="400">
        <f t="shared" si="8"/>
        <v>1.274132009860329</v>
      </c>
      <c r="X151" s="545" t="s">
        <v>1732</v>
      </c>
      <c r="Y151" s="445" t="s">
        <v>1084</v>
      </c>
      <c r="Z151" s="445" t="s">
        <v>2788</v>
      </c>
      <c r="AA151" s="431">
        <v>40849</v>
      </c>
      <c r="AB151" s="431"/>
      <c r="AC151" s="431">
        <v>40638</v>
      </c>
      <c r="AD151" s="431">
        <v>40576</v>
      </c>
      <c r="AE151" s="431"/>
      <c r="AF151" s="431"/>
      <c r="AG151" s="420"/>
      <c r="AH151" s="420"/>
      <c r="AI151" s="420"/>
      <c r="AJ151" s="420"/>
      <c r="AK151" s="420"/>
      <c r="AL151" s="420"/>
      <c r="AM151" s="420"/>
      <c r="AN151" s="420"/>
      <c r="AO151" s="532"/>
      <c r="AP151" s="463"/>
      <c r="AQ151" s="466"/>
    </row>
    <row r="152" spans="1:48" s="474" customFormat="1" ht="13.5" customHeight="1">
      <c r="A152" s="51" t="s">
        <v>1331</v>
      </c>
      <c r="B152" s="63">
        <v>44</v>
      </c>
      <c r="C152" s="51" t="s">
        <v>881</v>
      </c>
      <c r="D152" s="54" t="s">
        <v>558</v>
      </c>
      <c r="E152" s="51"/>
      <c r="F152" s="54">
        <v>2</v>
      </c>
      <c r="G152" s="54"/>
      <c r="H152" s="61" t="s">
        <v>1712</v>
      </c>
      <c r="I152" s="68" t="s">
        <v>845</v>
      </c>
      <c r="J152" s="54" t="s">
        <v>346</v>
      </c>
      <c r="K152" s="61" t="s">
        <v>840</v>
      </c>
      <c r="L152" s="888">
        <v>57.347999999999999</v>
      </c>
      <c r="M152" s="92"/>
      <c r="N152" s="122">
        <v>39448</v>
      </c>
      <c r="O152" s="942">
        <v>286.74</v>
      </c>
      <c r="P152" s="51" t="s">
        <v>1314</v>
      </c>
      <c r="Q152" s="888"/>
      <c r="R152" s="51"/>
      <c r="S152" s="51"/>
      <c r="T152" s="891"/>
      <c r="U152" s="122"/>
      <c r="V152" s="361"/>
      <c r="W152" s="382"/>
      <c r="X152" s="56"/>
      <c r="Y152" s="51" t="s">
        <v>1396</v>
      </c>
      <c r="Z152" s="51" t="s">
        <v>1057</v>
      </c>
      <c r="AA152" s="864">
        <v>39150</v>
      </c>
      <c r="AB152" s="864"/>
      <c r="AC152" s="864"/>
      <c r="AD152" s="864"/>
      <c r="AE152" s="864"/>
      <c r="AF152" s="864"/>
      <c r="AG152" s="198"/>
      <c r="AH152" s="198">
        <v>4.07</v>
      </c>
      <c r="AI152" s="888"/>
      <c r="AJ152" s="198"/>
      <c r="AK152" s="198"/>
      <c r="AL152" s="198"/>
      <c r="AM152" s="198"/>
      <c r="AN152" s="198"/>
      <c r="AO152" s="781" t="s">
        <v>844</v>
      </c>
      <c r="AP152" s="735"/>
      <c r="AQ152" s="51"/>
    </row>
    <row r="153" spans="1:48" s="474" customFormat="1" ht="29.25" customHeight="1">
      <c r="A153" s="467" t="s">
        <v>3974</v>
      </c>
      <c r="B153" s="489">
        <v>330</v>
      </c>
      <c r="C153" s="467" t="s">
        <v>3940</v>
      </c>
      <c r="D153" s="463" t="s">
        <v>1398</v>
      </c>
      <c r="E153" s="466" t="s">
        <v>3946</v>
      </c>
      <c r="F153" s="463">
        <v>2</v>
      </c>
      <c r="G153" s="463"/>
      <c r="H153" s="61" t="s">
        <v>1712</v>
      </c>
      <c r="I153" s="510" t="s">
        <v>1488</v>
      </c>
      <c r="J153" s="466" t="s">
        <v>1709</v>
      </c>
      <c r="K153" s="518" t="s">
        <v>689</v>
      </c>
      <c r="L153" s="783">
        <v>127.126</v>
      </c>
      <c r="M153" s="469">
        <v>7</v>
      </c>
      <c r="N153" s="470">
        <v>39448</v>
      </c>
      <c r="O153" s="948">
        <f>L153*5</f>
        <v>635.63</v>
      </c>
      <c r="P153" s="516" t="s">
        <v>728</v>
      </c>
      <c r="Q153" s="783"/>
      <c r="R153" s="466"/>
      <c r="S153" s="466"/>
      <c r="T153" s="933"/>
      <c r="U153" s="470"/>
      <c r="V153" s="476"/>
      <c r="W153" s="486"/>
      <c r="X153" s="898"/>
      <c r="Y153" s="467" t="s">
        <v>2112</v>
      </c>
      <c r="Z153" s="467" t="s">
        <v>3947</v>
      </c>
      <c r="AA153" s="520">
        <v>41285</v>
      </c>
      <c r="AB153" s="520"/>
      <c r="AC153" s="521"/>
      <c r="AD153" s="521"/>
      <c r="AE153" s="521"/>
      <c r="AF153" s="521"/>
      <c r="AG153" s="514"/>
      <c r="AH153" s="514">
        <f>4*1.294</f>
        <v>5.1760000000000002</v>
      </c>
      <c r="AI153" s="783">
        <f>41000/AH153</f>
        <v>7921.1746522411122</v>
      </c>
      <c r="AJ153" s="514">
        <f>6.129861/Exch!B11</f>
        <v>7.2598303648283675</v>
      </c>
      <c r="AK153" s="198">
        <f>AJ153*1000/L153</f>
        <v>57.107360924031013</v>
      </c>
      <c r="AL153" s="888">
        <f>AJ153*1000/AH153</f>
        <v>1402.5947381816784</v>
      </c>
      <c r="AM153" s="514"/>
      <c r="AN153" s="514"/>
      <c r="AO153" s="466"/>
      <c r="AP153" s="463"/>
      <c r="AQ153" s="782"/>
    </row>
    <row r="154" spans="1:48" s="474" customFormat="1">
      <c r="A154" s="467" t="s">
        <v>3975</v>
      </c>
      <c r="B154" s="489">
        <v>331</v>
      </c>
      <c r="C154" s="467" t="s">
        <v>3942</v>
      </c>
      <c r="D154" s="463" t="s">
        <v>1398</v>
      </c>
      <c r="E154" s="466" t="s">
        <v>3943</v>
      </c>
      <c r="F154" s="463">
        <v>2</v>
      </c>
      <c r="G154" s="463"/>
      <c r="H154" s="61" t="s">
        <v>1712</v>
      </c>
      <c r="I154" s="510" t="s">
        <v>1488</v>
      </c>
      <c r="J154" s="463" t="s">
        <v>1709</v>
      </c>
      <c r="K154" s="518" t="s">
        <v>689</v>
      </c>
      <c r="L154" s="783">
        <v>431.90300000000002</v>
      </c>
      <c r="M154" s="469">
        <v>20</v>
      </c>
      <c r="N154" s="470">
        <v>39448</v>
      </c>
      <c r="O154" s="948">
        <f>L154*5</f>
        <v>2159.5150000000003</v>
      </c>
      <c r="P154" s="516" t="s">
        <v>728</v>
      </c>
      <c r="Q154" s="783"/>
      <c r="R154" s="466"/>
      <c r="S154" s="466"/>
      <c r="T154" s="933"/>
      <c r="U154" s="470"/>
      <c r="V154" s="476"/>
      <c r="W154" s="486"/>
      <c r="X154" s="898"/>
      <c r="Y154" s="467" t="s">
        <v>2112</v>
      </c>
      <c r="Z154" s="467" t="s">
        <v>3945</v>
      </c>
      <c r="AA154" s="520">
        <v>41286</v>
      </c>
      <c r="AB154" s="520"/>
      <c r="AC154" s="521"/>
      <c r="AD154" s="521"/>
      <c r="AE154" s="521"/>
      <c r="AF154" s="521"/>
      <c r="AG154" s="514"/>
      <c r="AH154" s="514">
        <v>23.5</v>
      </c>
      <c r="AI154" s="783">
        <f>185000/AH154</f>
        <v>7872.3404255319147</v>
      </c>
      <c r="AJ154" s="514">
        <f>42.895632/Exch!B11</f>
        <v>50.802948339628486</v>
      </c>
      <c r="AK154" s="198">
        <f>AJ154*1000/L154</f>
        <v>117.62582880792327</v>
      </c>
      <c r="AL154" s="888">
        <f>AJ154*1000/AH154</f>
        <v>2161.827588920361</v>
      </c>
      <c r="AM154" s="514"/>
      <c r="AN154" s="514"/>
      <c r="AO154" s="466"/>
      <c r="AP154" s="463"/>
      <c r="AQ154" s="782"/>
    </row>
    <row r="155" spans="1:48" s="474" customFormat="1" ht="30" customHeight="1">
      <c r="A155" s="51" t="s">
        <v>766</v>
      </c>
      <c r="B155" s="59" t="s">
        <v>528</v>
      </c>
      <c r="C155" s="452" t="s">
        <v>774</v>
      </c>
      <c r="D155" s="392" t="s">
        <v>833</v>
      </c>
      <c r="E155" s="391" t="s">
        <v>503</v>
      </c>
      <c r="F155" s="392">
        <v>1</v>
      </c>
      <c r="G155" s="392"/>
      <c r="H155" s="393" t="s">
        <v>968</v>
      </c>
      <c r="I155" s="394" t="s">
        <v>1082</v>
      </c>
      <c r="J155" s="392" t="s">
        <v>977</v>
      </c>
      <c r="K155" s="490" t="s">
        <v>2001</v>
      </c>
      <c r="L155" s="395">
        <v>142</v>
      </c>
      <c r="M155" s="396">
        <v>0</v>
      </c>
      <c r="N155" s="397">
        <v>39448</v>
      </c>
      <c r="O155" s="398">
        <f>L155*5</f>
        <v>710</v>
      </c>
      <c r="P155" s="391" t="s">
        <v>1486</v>
      </c>
      <c r="Q155" s="395">
        <f>152.854+172.301+153.027</f>
        <v>478.18199999999996</v>
      </c>
      <c r="R155" s="399"/>
      <c r="S155" s="399"/>
      <c r="T155" s="879"/>
      <c r="U155" s="397">
        <v>40543</v>
      </c>
      <c r="V155" s="399">
        <v>426</v>
      </c>
      <c r="W155" s="400">
        <f>Q155/V155</f>
        <v>1.1224929577464788</v>
      </c>
      <c r="X155" s="545" t="s">
        <v>1084</v>
      </c>
      <c r="Y155" s="391" t="s">
        <v>731</v>
      </c>
      <c r="Z155" s="391" t="s">
        <v>500</v>
      </c>
      <c r="AA155" s="402">
        <v>39657</v>
      </c>
      <c r="AB155" s="402"/>
      <c r="AC155" s="401"/>
      <c r="AD155" s="401"/>
      <c r="AE155" s="402">
        <v>39658</v>
      </c>
      <c r="AF155" s="401"/>
      <c r="AG155" s="390"/>
      <c r="AH155" s="390">
        <v>27</v>
      </c>
      <c r="AI155" s="395">
        <f>259800/AH155</f>
        <v>9622.2222222222226</v>
      </c>
      <c r="AJ155" s="390"/>
      <c r="AK155" s="390"/>
      <c r="AL155" s="390"/>
      <c r="AM155" s="390"/>
      <c r="AN155" s="390"/>
      <c r="AO155" s="391" t="s">
        <v>502</v>
      </c>
      <c r="AP155" s="463"/>
      <c r="AQ155" s="51"/>
    </row>
    <row r="156" spans="1:48" s="474" customFormat="1" ht="12.75" customHeight="1">
      <c r="A156" s="51" t="s">
        <v>767</v>
      </c>
      <c r="B156" s="59" t="s">
        <v>529</v>
      </c>
      <c r="C156" s="452" t="s">
        <v>775</v>
      </c>
      <c r="D156" s="392" t="s">
        <v>833</v>
      </c>
      <c r="E156" s="391" t="s">
        <v>497</v>
      </c>
      <c r="F156" s="392">
        <v>1</v>
      </c>
      <c r="G156" s="391"/>
      <c r="H156" s="393" t="s">
        <v>968</v>
      </c>
      <c r="I156" s="394" t="s">
        <v>1082</v>
      </c>
      <c r="J156" s="392" t="s">
        <v>977</v>
      </c>
      <c r="K156" s="490" t="s">
        <v>2001</v>
      </c>
      <c r="L156" s="395">
        <f>O156/5</f>
        <v>98.228800000000007</v>
      </c>
      <c r="M156" s="396">
        <v>-1.5</v>
      </c>
      <c r="N156" s="397">
        <v>39448</v>
      </c>
      <c r="O156" s="398">
        <v>491.14400000000001</v>
      </c>
      <c r="P156" s="391" t="s">
        <v>1084</v>
      </c>
      <c r="Q156" s="395">
        <f>76.73+85.85+81.118+83.078+76.772</f>
        <v>403.54799999999994</v>
      </c>
      <c r="R156" s="399"/>
      <c r="S156" s="399"/>
      <c r="T156" s="879"/>
      <c r="U156" s="397">
        <v>41274</v>
      </c>
      <c r="V156" s="399">
        <v>491.4028403978233</v>
      </c>
      <c r="W156" s="400">
        <f>Q156/V156</f>
        <v>0.82121625441420121</v>
      </c>
      <c r="X156" s="545" t="s">
        <v>1084</v>
      </c>
      <c r="Y156" s="391" t="s">
        <v>498</v>
      </c>
      <c r="Z156" s="391" t="s">
        <v>496</v>
      </c>
      <c r="AA156" s="402">
        <v>39657</v>
      </c>
      <c r="AB156" s="402"/>
      <c r="AC156" s="401"/>
      <c r="AD156" s="401"/>
      <c r="AE156" s="402">
        <v>39658</v>
      </c>
      <c r="AF156" s="401"/>
      <c r="AG156" s="390"/>
      <c r="AH156" s="390">
        <v>50</v>
      </c>
      <c r="AI156" s="395">
        <f>171000/AH156</f>
        <v>3420</v>
      </c>
      <c r="AJ156" s="390"/>
      <c r="AK156" s="390"/>
      <c r="AL156" s="390"/>
      <c r="AM156" s="390"/>
      <c r="AN156" s="390"/>
      <c r="AO156" s="391" t="s">
        <v>499</v>
      </c>
      <c r="AP156" s="463"/>
      <c r="AQ156" s="51"/>
    </row>
    <row r="157" spans="1:48" s="474" customFormat="1">
      <c r="A157" s="51" t="s">
        <v>768</v>
      </c>
      <c r="B157" s="59" t="s">
        <v>530</v>
      </c>
      <c r="C157" s="405" t="s">
        <v>776</v>
      </c>
      <c r="D157" s="392" t="s">
        <v>833</v>
      </c>
      <c r="E157" s="391" t="s">
        <v>507</v>
      </c>
      <c r="F157" s="392">
        <v>1</v>
      </c>
      <c r="G157" s="392"/>
      <c r="H157" s="393" t="s">
        <v>968</v>
      </c>
      <c r="I157" s="394" t="s">
        <v>1082</v>
      </c>
      <c r="J157" s="392" t="s">
        <v>977</v>
      </c>
      <c r="K157" s="393"/>
      <c r="L157" s="395">
        <f>O157/5</f>
        <v>238.7518</v>
      </c>
      <c r="M157" s="396">
        <v>0</v>
      </c>
      <c r="N157" s="397">
        <v>39448</v>
      </c>
      <c r="O157" s="398">
        <v>1193.759</v>
      </c>
      <c r="P157" s="391" t="s">
        <v>1084</v>
      </c>
      <c r="Q157" s="395">
        <f>292.635+259.604+262.996+247.972+174.022</f>
        <v>1237.229</v>
      </c>
      <c r="R157" s="399"/>
      <c r="S157" s="399"/>
      <c r="T157" s="879"/>
      <c r="U157" s="397">
        <v>41274</v>
      </c>
      <c r="V157" s="399">
        <v>1194.4131145205479</v>
      </c>
      <c r="W157" s="400">
        <f>Q157/V157</f>
        <v>1.0358467978615917</v>
      </c>
      <c r="X157" s="545" t="s">
        <v>1084</v>
      </c>
      <c r="Y157" s="391" t="s">
        <v>504</v>
      </c>
      <c r="Z157" s="391" t="s">
        <v>504</v>
      </c>
      <c r="AA157" s="402">
        <v>39657</v>
      </c>
      <c r="AB157" s="402"/>
      <c r="AC157" s="401"/>
      <c r="AD157" s="401"/>
      <c r="AE157" s="402">
        <v>39658</v>
      </c>
      <c r="AF157" s="401"/>
      <c r="AG157" s="390"/>
      <c r="AH157" s="390">
        <v>49</v>
      </c>
      <c r="AI157" s="395">
        <f>334300/AH157</f>
        <v>6822.4489795918371</v>
      </c>
      <c r="AJ157" s="390"/>
      <c r="AK157" s="390"/>
      <c r="AL157" s="390"/>
      <c r="AM157" s="390"/>
      <c r="AN157" s="390"/>
      <c r="AO157" s="391" t="s">
        <v>505</v>
      </c>
      <c r="AP157" s="463"/>
      <c r="AQ157" s="51"/>
      <c r="AR157" s="464"/>
      <c r="AS157" s="464"/>
      <c r="AT157" s="464"/>
      <c r="AU157" s="464"/>
      <c r="AV157" s="464"/>
    </row>
    <row r="158" spans="1:48" s="474" customFormat="1" ht="15.75" customHeight="1">
      <c r="A158" s="51" t="s">
        <v>769</v>
      </c>
      <c r="B158" s="59" t="s">
        <v>531</v>
      </c>
      <c r="C158" s="405" t="s">
        <v>777</v>
      </c>
      <c r="D158" s="392" t="s">
        <v>833</v>
      </c>
      <c r="E158" s="391" t="s">
        <v>493</v>
      </c>
      <c r="F158" s="392">
        <v>1</v>
      </c>
      <c r="G158" s="392"/>
      <c r="H158" s="393" t="s">
        <v>968</v>
      </c>
      <c r="I158" s="394" t="s">
        <v>1489</v>
      </c>
      <c r="J158" s="392" t="s">
        <v>1709</v>
      </c>
      <c r="K158" s="490" t="s">
        <v>2001</v>
      </c>
      <c r="L158" s="395">
        <f>O158/5</f>
        <v>25.724599999999999</v>
      </c>
      <c r="M158" s="396">
        <v>0</v>
      </c>
      <c r="N158" s="397">
        <v>39448</v>
      </c>
      <c r="O158" s="398">
        <v>128.62299999999999</v>
      </c>
      <c r="P158" s="391" t="s">
        <v>1731</v>
      </c>
      <c r="Q158" s="395">
        <f>22.118+42.869+32.577</f>
        <v>97.563999999999993</v>
      </c>
      <c r="R158" s="399"/>
      <c r="S158" s="399"/>
      <c r="T158" s="879"/>
      <c r="U158" s="397">
        <v>41274</v>
      </c>
      <c r="V158" s="399">
        <v>128.69347835616438</v>
      </c>
      <c r="W158" s="400">
        <f>Q158/V158</f>
        <v>0.75811145402401592</v>
      </c>
      <c r="X158" s="545" t="s">
        <v>1084</v>
      </c>
      <c r="Y158" s="391" t="s">
        <v>830</v>
      </c>
      <c r="Z158" s="391" t="s">
        <v>491</v>
      </c>
      <c r="AA158" s="402">
        <v>39657</v>
      </c>
      <c r="AB158" s="402"/>
      <c r="AC158" s="401"/>
      <c r="AD158" s="401"/>
      <c r="AE158" s="402">
        <v>39658</v>
      </c>
      <c r="AF158" s="401"/>
      <c r="AG158" s="390"/>
      <c r="AH158" s="390">
        <v>0.51100000000000001</v>
      </c>
      <c r="AI158" s="395">
        <f>4000/AH158</f>
        <v>7827.7886497064574</v>
      </c>
      <c r="AJ158" s="390"/>
      <c r="AK158" s="390"/>
      <c r="AL158" s="390"/>
      <c r="AM158" s="390"/>
      <c r="AN158" s="390"/>
      <c r="AO158" s="391" t="s">
        <v>506</v>
      </c>
      <c r="AP158" s="463"/>
      <c r="AQ158" s="51"/>
    </row>
    <row r="159" spans="1:48" s="474" customFormat="1">
      <c r="A159" s="51" t="s">
        <v>770</v>
      </c>
      <c r="B159" s="59" t="s">
        <v>532</v>
      </c>
      <c r="C159" s="405" t="s">
        <v>778</v>
      </c>
      <c r="D159" s="392" t="s">
        <v>833</v>
      </c>
      <c r="E159" s="391" t="s">
        <v>508</v>
      </c>
      <c r="F159" s="392">
        <v>1</v>
      </c>
      <c r="G159" s="391"/>
      <c r="H159" s="393" t="s">
        <v>968</v>
      </c>
      <c r="I159" s="394" t="s">
        <v>3238</v>
      </c>
      <c r="J159" s="984" t="s">
        <v>450</v>
      </c>
      <c r="K159" s="393" t="s">
        <v>846</v>
      </c>
      <c r="L159" s="395">
        <v>37</v>
      </c>
      <c r="M159" s="396">
        <v>0</v>
      </c>
      <c r="N159" s="397">
        <v>39448</v>
      </c>
      <c r="O159" s="398">
        <f>L159*5</f>
        <v>185</v>
      </c>
      <c r="P159" s="391" t="s">
        <v>1732</v>
      </c>
      <c r="Q159" s="395">
        <f>23.505+29.464+44.467+39.357+30.827</f>
        <v>167.62</v>
      </c>
      <c r="R159" s="399"/>
      <c r="S159" s="399"/>
      <c r="T159" s="879"/>
      <c r="U159" s="397">
        <v>41274</v>
      </c>
      <c r="V159" s="399">
        <v>185.1013698630137</v>
      </c>
      <c r="W159" s="400">
        <f>Q159/V159</f>
        <v>0.90555785796749655</v>
      </c>
      <c r="X159" s="545" t="s">
        <v>1084</v>
      </c>
      <c r="Y159" s="391" t="s">
        <v>979</v>
      </c>
      <c r="Z159" s="391" t="s">
        <v>828</v>
      </c>
      <c r="AA159" s="402">
        <v>39657</v>
      </c>
      <c r="AB159" s="402"/>
      <c r="AC159" s="401"/>
      <c r="AD159" s="401"/>
      <c r="AE159" s="402">
        <v>39658</v>
      </c>
      <c r="AF159" s="401"/>
      <c r="AG159" s="390"/>
      <c r="AH159" s="390">
        <f>2*0.836</f>
        <v>1.6719999999999999</v>
      </c>
      <c r="AI159" s="395">
        <f>13376/AH159</f>
        <v>8000</v>
      </c>
      <c r="AJ159" s="390"/>
      <c r="AK159" s="390"/>
      <c r="AL159" s="390"/>
      <c r="AM159" s="390"/>
      <c r="AN159" s="390"/>
      <c r="AO159" s="391" t="s">
        <v>490</v>
      </c>
      <c r="AP159" s="463"/>
      <c r="AQ159" s="51"/>
    </row>
    <row r="160" spans="1:48" s="474" customFormat="1" ht="26.25" customHeight="1">
      <c r="A160" s="51" t="s">
        <v>771</v>
      </c>
      <c r="B160" s="59" t="s">
        <v>533</v>
      </c>
      <c r="C160" s="452" t="s">
        <v>779</v>
      </c>
      <c r="D160" s="392" t="s">
        <v>833</v>
      </c>
      <c r="E160" s="391" t="s">
        <v>493</v>
      </c>
      <c r="F160" s="392">
        <v>1</v>
      </c>
      <c r="G160" s="392"/>
      <c r="H160" s="393" t="s">
        <v>968</v>
      </c>
      <c r="I160" s="394" t="s">
        <v>1082</v>
      </c>
      <c r="J160" s="392" t="s">
        <v>977</v>
      </c>
      <c r="K160" s="490" t="s">
        <v>2001</v>
      </c>
      <c r="L160" s="395">
        <f>O160/5</f>
        <v>101.34779999999999</v>
      </c>
      <c r="M160" s="396">
        <v>0</v>
      </c>
      <c r="N160" s="397">
        <v>39814</v>
      </c>
      <c r="O160" s="398">
        <v>506.73899999999998</v>
      </c>
      <c r="P160" s="391" t="s">
        <v>1084</v>
      </c>
      <c r="Q160" s="395">
        <f>21.923+65.289+2.946+49.437</f>
        <v>139.595</v>
      </c>
      <c r="R160" s="399"/>
      <c r="S160" s="399"/>
      <c r="T160" s="879"/>
      <c r="U160" s="397">
        <v>41274</v>
      </c>
      <c r="V160" s="399">
        <v>405.39119999999997</v>
      </c>
      <c r="W160" s="400"/>
      <c r="X160" s="545"/>
      <c r="Y160" s="391" t="s">
        <v>494</v>
      </c>
      <c r="Z160" s="391" t="s">
        <v>495</v>
      </c>
      <c r="AA160" s="402">
        <v>39657</v>
      </c>
      <c r="AB160" s="402"/>
      <c r="AC160" s="401"/>
      <c r="AD160" s="401"/>
      <c r="AE160" s="402">
        <v>39658</v>
      </c>
      <c r="AF160" s="401"/>
      <c r="AG160" s="390"/>
      <c r="AH160" s="390">
        <v>19.141999999999999</v>
      </c>
      <c r="AI160" s="395">
        <f>144906/AH160</f>
        <v>7570.0553756138333</v>
      </c>
      <c r="AJ160" s="390"/>
      <c r="AK160" s="390"/>
      <c r="AL160" s="390"/>
      <c r="AM160" s="390"/>
      <c r="AN160" s="390"/>
      <c r="AO160" s="391"/>
      <c r="AP160" s="463"/>
      <c r="AQ160" s="782"/>
    </row>
    <row r="161" spans="1:48" s="474" customFormat="1">
      <c r="A161" s="51" t="s">
        <v>772</v>
      </c>
      <c r="B161" s="59" t="s">
        <v>534</v>
      </c>
      <c r="C161" s="405" t="s">
        <v>780</v>
      </c>
      <c r="D161" s="392" t="s">
        <v>833</v>
      </c>
      <c r="E161" s="391" t="s">
        <v>497</v>
      </c>
      <c r="F161" s="392">
        <v>1</v>
      </c>
      <c r="G161" s="392"/>
      <c r="H161" s="393" t="s">
        <v>968</v>
      </c>
      <c r="I161" s="394" t="s">
        <v>981</v>
      </c>
      <c r="J161" s="1039" t="s">
        <v>1173</v>
      </c>
      <c r="K161" s="490" t="s">
        <v>2001</v>
      </c>
      <c r="L161" s="395">
        <v>800</v>
      </c>
      <c r="M161" s="396">
        <v>0</v>
      </c>
      <c r="N161" s="397">
        <v>39448</v>
      </c>
      <c r="O161" s="398">
        <f>L161*5</f>
        <v>4000</v>
      </c>
      <c r="P161" s="391" t="s">
        <v>1486</v>
      </c>
      <c r="Q161" s="395">
        <f>750.78+797.01+905.651+1079.42+701.974</f>
        <v>4234.835</v>
      </c>
      <c r="R161" s="399"/>
      <c r="S161" s="399"/>
      <c r="T161" s="879">
        <v>40072</v>
      </c>
      <c r="U161" s="397">
        <v>41274</v>
      </c>
      <c r="V161" s="399">
        <v>4002.1917808219177</v>
      </c>
      <c r="W161" s="400">
        <f>Q161/V161</f>
        <v>1.058128953313253</v>
      </c>
      <c r="X161" s="545" t="s">
        <v>1084</v>
      </c>
      <c r="Y161" s="405" t="s">
        <v>979</v>
      </c>
      <c r="Z161" s="405" t="s">
        <v>829</v>
      </c>
      <c r="AA161" s="402">
        <v>39657</v>
      </c>
      <c r="AB161" s="402"/>
      <c r="AC161" s="401"/>
      <c r="AD161" s="401"/>
      <c r="AE161" s="402">
        <v>39658</v>
      </c>
      <c r="AF161" s="401"/>
      <c r="AG161" s="390"/>
      <c r="AH161" s="390">
        <v>0</v>
      </c>
      <c r="AI161" s="395"/>
      <c r="AJ161" s="390"/>
      <c r="AK161" s="390"/>
      <c r="AL161" s="390"/>
      <c r="AM161" s="390"/>
      <c r="AN161" s="390"/>
      <c r="AO161" s="391" t="s">
        <v>488</v>
      </c>
      <c r="AP161" s="463"/>
      <c r="AQ161" s="51"/>
    </row>
    <row r="162" spans="1:48" s="474" customFormat="1" ht="30" customHeight="1">
      <c r="A162" s="51" t="s">
        <v>773</v>
      </c>
      <c r="B162" s="59" t="s">
        <v>535</v>
      </c>
      <c r="C162" s="405" t="s">
        <v>785</v>
      </c>
      <c r="D162" s="392" t="s">
        <v>833</v>
      </c>
      <c r="E162" s="391" t="s">
        <v>492</v>
      </c>
      <c r="F162" s="392">
        <v>1</v>
      </c>
      <c r="G162" s="392"/>
      <c r="H162" s="393" t="s">
        <v>968</v>
      </c>
      <c r="I162" s="394" t="s">
        <v>1489</v>
      </c>
      <c r="J162" s="344" t="s">
        <v>1710</v>
      </c>
      <c r="K162" s="393" t="s">
        <v>689</v>
      </c>
      <c r="L162" s="395">
        <f>O162/5</f>
        <v>82.773200000000003</v>
      </c>
      <c r="M162" s="396">
        <v>-3.2</v>
      </c>
      <c r="N162" s="397">
        <v>39448</v>
      </c>
      <c r="O162" s="398">
        <v>413.86599999999999</v>
      </c>
      <c r="P162" s="391" t="s">
        <v>1084</v>
      </c>
      <c r="Q162" s="395">
        <f>98.637+109.364+112.649</f>
        <v>320.64999999999998</v>
      </c>
      <c r="R162" s="399"/>
      <c r="S162" s="399"/>
      <c r="T162" s="879"/>
      <c r="U162" s="397">
        <v>41274</v>
      </c>
      <c r="V162" s="399">
        <v>414.07084607243388</v>
      </c>
      <c r="W162" s="400">
        <f>Q162/V162</f>
        <v>0.77438439108052615</v>
      </c>
      <c r="X162" s="545" t="s">
        <v>1084</v>
      </c>
      <c r="Y162" s="391" t="s">
        <v>1084</v>
      </c>
      <c r="Z162" s="391" t="s">
        <v>491</v>
      </c>
      <c r="AA162" s="402">
        <v>39657</v>
      </c>
      <c r="AB162" s="402"/>
      <c r="AC162" s="401"/>
      <c r="AD162" s="401"/>
      <c r="AE162" s="402">
        <v>39658</v>
      </c>
      <c r="AF162" s="401"/>
      <c r="AG162" s="390"/>
      <c r="AH162" s="390">
        <v>0</v>
      </c>
      <c r="AI162" s="395"/>
      <c r="AJ162" s="395"/>
      <c r="AK162" s="395"/>
      <c r="AL162" s="395"/>
      <c r="AM162" s="390"/>
      <c r="AN162" s="395">
        <f>L162</f>
        <v>82.773200000000003</v>
      </c>
      <c r="AO162" s="391"/>
      <c r="AP162" s="463"/>
      <c r="AQ162" s="51"/>
    </row>
    <row r="163" spans="1:48" s="474" customFormat="1" ht="12.75" customHeight="1">
      <c r="A163" s="51" t="s">
        <v>890</v>
      </c>
      <c r="B163" s="59" t="s">
        <v>891</v>
      </c>
      <c r="C163" s="391" t="s">
        <v>892</v>
      </c>
      <c r="D163" s="392" t="s">
        <v>833</v>
      </c>
      <c r="E163" s="391" t="s">
        <v>1627</v>
      </c>
      <c r="F163" s="392">
        <v>1</v>
      </c>
      <c r="G163" s="392"/>
      <c r="H163" s="393" t="s">
        <v>968</v>
      </c>
      <c r="I163" s="394" t="s">
        <v>1489</v>
      </c>
      <c r="J163" s="344" t="s">
        <v>1710</v>
      </c>
      <c r="K163" s="393" t="s">
        <v>689</v>
      </c>
      <c r="L163" s="395">
        <f>O163/4.5</f>
        <v>117.38222222222223</v>
      </c>
      <c r="M163" s="396">
        <v>0</v>
      </c>
      <c r="N163" s="397">
        <v>39630</v>
      </c>
      <c r="O163" s="398">
        <v>528.22</v>
      </c>
      <c r="P163" s="391" t="s">
        <v>1314</v>
      </c>
      <c r="Q163" s="395">
        <f>59.735</f>
        <v>59.734999999999999</v>
      </c>
      <c r="R163" s="399"/>
      <c r="S163" s="399"/>
      <c r="T163" s="879"/>
      <c r="U163" s="397">
        <v>39813</v>
      </c>
      <c r="V163" s="399">
        <v>58.851908675799095</v>
      </c>
      <c r="W163" s="400">
        <f>Q163/V163</f>
        <v>1.0150053132357293</v>
      </c>
      <c r="X163" s="545" t="s">
        <v>1084</v>
      </c>
      <c r="Y163" s="391" t="s">
        <v>1084</v>
      </c>
      <c r="Z163" s="391" t="s">
        <v>893</v>
      </c>
      <c r="AA163" s="402">
        <v>40038</v>
      </c>
      <c r="AB163" s="402"/>
      <c r="AC163" s="401"/>
      <c r="AD163" s="401"/>
      <c r="AE163" s="401"/>
      <c r="AF163" s="401"/>
      <c r="AG163" s="390"/>
      <c r="AH163" s="390">
        <v>0</v>
      </c>
      <c r="AI163" s="395"/>
      <c r="AJ163" s="390"/>
      <c r="AK163" s="390"/>
      <c r="AL163" s="390"/>
      <c r="AM163" s="390"/>
      <c r="AN163" s="390"/>
      <c r="AO163" s="391" t="s">
        <v>894</v>
      </c>
      <c r="AP163" s="514"/>
      <c r="AQ163" s="782"/>
    </row>
    <row r="164" spans="1:48" s="474" customFormat="1" ht="12.75" customHeight="1">
      <c r="A164" s="51" t="s">
        <v>1692</v>
      </c>
      <c r="B164" s="488" t="s">
        <v>1695</v>
      </c>
      <c r="C164" s="391" t="s">
        <v>1694</v>
      </c>
      <c r="D164" s="392" t="s">
        <v>833</v>
      </c>
      <c r="E164" s="391" t="s">
        <v>1627</v>
      </c>
      <c r="F164" s="392">
        <v>1</v>
      </c>
      <c r="G164" s="392"/>
      <c r="H164" s="393" t="s">
        <v>968</v>
      </c>
      <c r="I164" s="862" t="s">
        <v>972</v>
      </c>
      <c r="J164" s="392" t="s">
        <v>463</v>
      </c>
      <c r="K164" s="490" t="s">
        <v>2001</v>
      </c>
      <c r="L164" s="395">
        <v>175</v>
      </c>
      <c r="M164" s="396">
        <v>0</v>
      </c>
      <c r="N164" s="397">
        <v>39814</v>
      </c>
      <c r="O164" s="398">
        <v>581.67100000000005</v>
      </c>
      <c r="P164" s="391" t="s">
        <v>1084</v>
      </c>
      <c r="Q164" s="395">
        <f>35.648</f>
        <v>35.648000000000003</v>
      </c>
      <c r="R164" s="399"/>
      <c r="S164" s="399"/>
      <c r="T164" s="879"/>
      <c r="U164" s="397">
        <v>40543</v>
      </c>
      <c r="V164" s="399">
        <v>349.52054794520546</v>
      </c>
      <c r="W164" s="400"/>
      <c r="X164" s="545"/>
      <c r="Y164" s="391" t="s">
        <v>1084</v>
      </c>
      <c r="Z164" s="405" t="s">
        <v>825</v>
      </c>
      <c r="AA164" s="1062">
        <v>40207</v>
      </c>
      <c r="AB164" s="402"/>
      <c r="AC164" s="401"/>
      <c r="AD164" s="401"/>
      <c r="AE164" s="401"/>
      <c r="AF164" s="401"/>
      <c r="AG164" s="390"/>
      <c r="AH164" s="390">
        <v>0</v>
      </c>
      <c r="AI164" s="395"/>
      <c r="AJ164" s="434"/>
      <c r="AK164" s="390"/>
      <c r="AL164" s="395"/>
      <c r="AM164" s="390"/>
      <c r="AN164" s="390"/>
      <c r="AO164" s="391"/>
      <c r="AP164" s="514"/>
      <c r="AQ164" s="782"/>
    </row>
    <row r="165" spans="1:48" s="474" customFormat="1" ht="12.75" customHeight="1">
      <c r="A165" s="467" t="s">
        <v>2130</v>
      </c>
      <c r="B165" s="488" t="s">
        <v>2131</v>
      </c>
      <c r="C165" s="445" t="s">
        <v>2138</v>
      </c>
      <c r="D165" s="449" t="s">
        <v>833</v>
      </c>
      <c r="E165" s="480" t="s">
        <v>1627</v>
      </c>
      <c r="F165" s="802">
        <v>1</v>
      </c>
      <c r="G165" s="802"/>
      <c r="H165" s="490" t="s">
        <v>968</v>
      </c>
      <c r="I165" s="724" t="s">
        <v>3238</v>
      </c>
      <c r="J165" s="725" t="s">
        <v>450</v>
      </c>
      <c r="K165" s="490" t="s">
        <v>2132</v>
      </c>
      <c r="L165" s="845">
        <f>O165/2</f>
        <v>135.13</v>
      </c>
      <c r="M165" s="505">
        <v>0</v>
      </c>
      <c r="N165" s="479">
        <v>40179</v>
      </c>
      <c r="O165" s="804">
        <v>270.26</v>
      </c>
      <c r="P165" s="532" t="s">
        <v>1084</v>
      </c>
      <c r="Q165" s="845"/>
      <c r="R165" s="478"/>
      <c r="S165" s="478"/>
      <c r="T165" s="880"/>
      <c r="U165" s="479"/>
      <c r="V165" s="478"/>
      <c r="W165" s="480"/>
      <c r="X165" s="503"/>
      <c r="Y165" s="532" t="s">
        <v>1084</v>
      </c>
      <c r="Z165" s="532" t="s">
        <v>202</v>
      </c>
      <c r="AA165" s="805">
        <v>40505</v>
      </c>
      <c r="AB165" s="805"/>
      <c r="AC165" s="805"/>
      <c r="AD165" s="805"/>
      <c r="AE165" s="805"/>
      <c r="AF165" s="805"/>
      <c r="AG165" s="802"/>
      <c r="AH165" s="916"/>
      <c r="AI165" s="802"/>
      <c r="AJ165" s="802"/>
      <c r="AK165" s="802"/>
      <c r="AL165" s="802"/>
      <c r="AM165" s="802"/>
      <c r="AN165" s="802"/>
      <c r="AO165" s="480" t="s">
        <v>2146</v>
      </c>
      <c r="AP165" s="818"/>
      <c r="AQ165" s="782"/>
    </row>
    <row r="166" spans="1:48" s="474" customFormat="1" ht="12.75" customHeight="1">
      <c r="A166" s="51" t="s">
        <v>1725</v>
      </c>
      <c r="B166" s="63">
        <v>23</v>
      </c>
      <c r="C166" s="51" t="s">
        <v>1517</v>
      </c>
      <c r="D166" s="54" t="s">
        <v>833</v>
      </c>
      <c r="E166" s="51"/>
      <c r="F166" s="54">
        <v>2</v>
      </c>
      <c r="G166" s="54"/>
      <c r="H166" s="61" t="s">
        <v>1712</v>
      </c>
      <c r="I166" s="68" t="s">
        <v>1082</v>
      </c>
      <c r="J166" s="54" t="s">
        <v>687</v>
      </c>
      <c r="K166" s="863" t="s">
        <v>2001</v>
      </c>
      <c r="L166" s="1042">
        <v>141.41</v>
      </c>
      <c r="M166" s="821"/>
      <c r="N166" s="122">
        <v>39448</v>
      </c>
      <c r="O166" s="942">
        <f>35.428+142.332+142.973+140.99+139.007</f>
        <v>600.73</v>
      </c>
      <c r="P166" s="51" t="s">
        <v>1731</v>
      </c>
      <c r="Q166" s="888"/>
      <c r="R166" s="51"/>
      <c r="S166" s="51"/>
      <c r="T166" s="891"/>
      <c r="U166" s="122"/>
      <c r="V166" s="361"/>
      <c r="W166" s="382"/>
      <c r="X166" s="870"/>
      <c r="Y166" s="51" t="s">
        <v>1084</v>
      </c>
      <c r="Z166" s="51" t="s">
        <v>1519</v>
      </c>
      <c r="AA166" s="945">
        <v>39074</v>
      </c>
      <c r="AB166" s="945"/>
      <c r="AC166" s="864"/>
      <c r="AD166" s="864"/>
      <c r="AE166" s="864"/>
      <c r="AF166" s="864"/>
      <c r="AG166" s="198"/>
      <c r="AH166" s="198"/>
      <c r="AI166" s="888"/>
      <c r="AJ166" s="198"/>
      <c r="AK166" s="198"/>
      <c r="AL166" s="198"/>
      <c r="AM166" s="198"/>
      <c r="AN166" s="198"/>
      <c r="AO166" s="51" t="s">
        <v>1518</v>
      </c>
      <c r="AP166" s="463"/>
      <c r="AQ166" s="782"/>
      <c r="AR166" s="464"/>
      <c r="AS166" s="464"/>
      <c r="AT166" s="464"/>
      <c r="AU166" s="464"/>
      <c r="AV166" s="464"/>
    </row>
    <row r="167" spans="1:48" s="474" customFormat="1" ht="25.5">
      <c r="A167" s="51" t="s">
        <v>139</v>
      </c>
      <c r="B167" s="59">
        <v>113</v>
      </c>
      <c r="C167" s="302" t="s">
        <v>143</v>
      </c>
      <c r="D167" s="55" t="s">
        <v>833</v>
      </c>
      <c r="E167" s="52"/>
      <c r="F167" s="54">
        <v>2</v>
      </c>
      <c r="G167" s="54"/>
      <c r="H167" s="61" t="s">
        <v>1712</v>
      </c>
      <c r="I167" s="68" t="s">
        <v>1736</v>
      </c>
      <c r="J167" s="54" t="s">
        <v>1070</v>
      </c>
      <c r="K167" s="58" t="s">
        <v>140</v>
      </c>
      <c r="L167" s="198">
        <v>0.55310000000000004</v>
      </c>
      <c r="M167" s="92"/>
      <c r="N167" s="122">
        <v>39448</v>
      </c>
      <c r="O167" s="942">
        <f>L167*5</f>
        <v>2.7655000000000003</v>
      </c>
      <c r="P167" s="51" t="s">
        <v>698</v>
      </c>
      <c r="Q167" s="981"/>
      <c r="R167" s="52"/>
      <c r="S167" s="52"/>
      <c r="T167" s="882"/>
      <c r="U167" s="854"/>
      <c r="V167" s="385"/>
      <c r="W167" s="383"/>
      <c r="X167" s="482"/>
      <c r="Y167" s="51" t="s">
        <v>1376</v>
      </c>
      <c r="Z167" s="51" t="s">
        <v>142</v>
      </c>
      <c r="AA167" s="944">
        <v>39478</v>
      </c>
      <c r="AB167" s="944"/>
      <c r="AC167" s="946"/>
      <c r="AD167" s="946"/>
      <c r="AE167" s="946"/>
      <c r="AF167" s="946"/>
      <c r="AG167" s="198"/>
      <c r="AH167" s="198"/>
      <c r="AI167" s="888"/>
      <c r="AJ167" s="198"/>
      <c r="AK167" s="198"/>
      <c r="AL167" s="198"/>
      <c r="AM167" s="198"/>
      <c r="AN167" s="198"/>
      <c r="AO167" s="52" t="s">
        <v>141</v>
      </c>
      <c r="AP167" s="463"/>
      <c r="AQ167" s="51"/>
    </row>
    <row r="168" spans="1:48" s="474" customFormat="1" ht="15.75" customHeight="1">
      <c r="A168" s="51" t="s">
        <v>486</v>
      </c>
      <c r="B168" s="59">
        <v>71</v>
      </c>
      <c r="C168" s="436" t="s">
        <v>303</v>
      </c>
      <c r="D168" s="492" t="s">
        <v>976</v>
      </c>
      <c r="E168" s="436"/>
      <c r="F168" s="492">
        <v>2</v>
      </c>
      <c r="G168" s="492"/>
      <c r="H168" s="324" t="s">
        <v>1593</v>
      </c>
      <c r="I168" s="437" t="s">
        <v>1082</v>
      </c>
      <c r="J168" s="436" t="s">
        <v>1357</v>
      </c>
      <c r="K168" s="867" t="s">
        <v>304</v>
      </c>
      <c r="L168" s="1015">
        <v>5.3369999999999997</v>
      </c>
      <c r="M168" s="438"/>
      <c r="N168" s="439">
        <v>39448</v>
      </c>
      <c r="O168" s="1017">
        <f>L168*5</f>
        <v>26.684999999999999</v>
      </c>
      <c r="P168" s="436" t="s">
        <v>1731</v>
      </c>
      <c r="Q168" s="941"/>
      <c r="R168" s="436"/>
      <c r="S168" s="436"/>
      <c r="T168" s="893"/>
      <c r="U168" s="439"/>
      <c r="V168" s="440"/>
      <c r="W168" s="441"/>
      <c r="X168" s="843"/>
      <c r="Y168" s="436" t="s">
        <v>1365</v>
      </c>
      <c r="Z168" s="436" t="s">
        <v>835</v>
      </c>
      <c r="AA168" s="494">
        <v>39287</v>
      </c>
      <c r="AB168" s="494"/>
      <c r="AC168" s="495"/>
      <c r="AD168" s="495"/>
      <c r="AE168" s="495"/>
      <c r="AF168" s="324" t="s">
        <v>1593</v>
      </c>
      <c r="AG168" s="1015"/>
      <c r="AH168" s="1015">
        <v>5.2</v>
      </c>
      <c r="AI168" s="941"/>
      <c r="AJ168" s="1015"/>
      <c r="AK168" s="1015"/>
      <c r="AL168" s="1015"/>
      <c r="AM168" s="1015"/>
      <c r="AN168" s="1015"/>
      <c r="AO168" s="436"/>
      <c r="AP168" s="463"/>
      <c r="AQ168" s="782"/>
    </row>
    <row r="169" spans="1:48" s="474" customFormat="1" ht="12.75" customHeight="1">
      <c r="A169" s="467" t="s">
        <v>3855</v>
      </c>
      <c r="B169" s="468" t="s">
        <v>3732</v>
      </c>
      <c r="C169" s="445" t="s">
        <v>3733</v>
      </c>
      <c r="D169" s="449" t="s">
        <v>976</v>
      </c>
      <c r="E169" s="445" t="s">
        <v>3734</v>
      </c>
      <c r="F169" s="420">
        <v>1</v>
      </c>
      <c r="G169" s="420"/>
      <c r="H169" s="421" t="s">
        <v>968</v>
      </c>
      <c r="I169" s="455" t="s">
        <v>1488</v>
      </c>
      <c r="J169" s="445" t="s">
        <v>1709</v>
      </c>
      <c r="K169" s="450" t="s">
        <v>2001</v>
      </c>
      <c r="L169" s="422">
        <f>O169/5</f>
        <v>60.133000000000003</v>
      </c>
      <c r="M169" s="423">
        <v>0</v>
      </c>
      <c r="N169" s="444">
        <v>39448</v>
      </c>
      <c r="O169" s="424">
        <v>300.66500000000002</v>
      </c>
      <c r="P169" s="513" t="s">
        <v>728</v>
      </c>
      <c r="Q169" s="422"/>
      <c r="R169" s="419"/>
      <c r="S169" s="419"/>
      <c r="T169" s="881"/>
      <c r="U169" s="444"/>
      <c r="V169" s="425"/>
      <c r="W169" s="427"/>
      <c r="X169" s="543"/>
      <c r="Y169" s="445" t="s">
        <v>1084</v>
      </c>
      <c r="Z169" s="445" t="s">
        <v>3735</v>
      </c>
      <c r="AA169" s="430">
        <v>41254</v>
      </c>
      <c r="AB169" s="430"/>
      <c r="AC169" s="431"/>
      <c r="AD169" s="431"/>
      <c r="AE169" s="431"/>
      <c r="AF169" s="431"/>
      <c r="AG169" s="432"/>
      <c r="AH169" s="432">
        <f>1.168+0.452</f>
        <v>1.6199999999999999</v>
      </c>
      <c r="AI169" s="422"/>
      <c r="AJ169" s="827"/>
      <c r="AK169" s="432"/>
      <c r="AL169" s="432"/>
      <c r="AM169" s="432"/>
      <c r="AN169" s="432"/>
      <c r="AO169" s="419"/>
      <c r="AP169" s="463"/>
      <c r="AQ169" s="782"/>
    </row>
    <row r="170" spans="1:48" s="474" customFormat="1" ht="12.75" customHeight="1">
      <c r="A170" s="51" t="s">
        <v>1584</v>
      </c>
      <c r="B170" s="63">
        <v>25</v>
      </c>
      <c r="C170" s="391" t="s">
        <v>1492</v>
      </c>
      <c r="D170" s="392" t="s">
        <v>879</v>
      </c>
      <c r="E170" s="391" t="s">
        <v>282</v>
      </c>
      <c r="F170" s="392">
        <v>2</v>
      </c>
      <c r="G170" s="392"/>
      <c r="H170" s="393" t="s">
        <v>968</v>
      </c>
      <c r="I170" s="394" t="s">
        <v>970</v>
      </c>
      <c r="J170" s="344"/>
      <c r="K170" s="490" t="s">
        <v>2001</v>
      </c>
      <c r="L170" s="395">
        <v>46.231000000000002</v>
      </c>
      <c r="M170" s="396">
        <v>0</v>
      </c>
      <c r="N170" s="397">
        <v>39448</v>
      </c>
      <c r="O170" s="398">
        <f>5*L170</f>
        <v>231.155</v>
      </c>
      <c r="P170" s="391" t="s">
        <v>1732</v>
      </c>
      <c r="Q170" s="422">
        <f>44.934+35.945+34.121+43.954+31.012</f>
        <v>189.96600000000001</v>
      </c>
      <c r="R170" s="425"/>
      <c r="S170" s="425"/>
      <c r="T170" s="879">
        <v>40158</v>
      </c>
      <c r="U170" s="397">
        <v>41213</v>
      </c>
      <c r="V170" s="399">
        <v>223.55538356164385</v>
      </c>
      <c r="W170" s="400">
        <f t="shared" ref="W170:W178" si="9">Q170/V170</f>
        <v>0.84974916270633316</v>
      </c>
      <c r="X170" s="545" t="s">
        <v>1732</v>
      </c>
      <c r="Y170" s="391" t="s">
        <v>180</v>
      </c>
      <c r="Z170" s="391" t="s">
        <v>1494</v>
      </c>
      <c r="AA170" s="401">
        <v>39093</v>
      </c>
      <c r="AB170" s="401"/>
      <c r="AC170" s="401">
        <v>39177</v>
      </c>
      <c r="AD170" s="401">
        <v>39612</v>
      </c>
      <c r="AE170" s="401">
        <v>39656</v>
      </c>
      <c r="AF170" s="401"/>
      <c r="AG170" s="390"/>
      <c r="AH170" s="390">
        <v>30</v>
      </c>
      <c r="AI170" s="395">
        <f>73852/AH170</f>
        <v>2461.7333333333331</v>
      </c>
      <c r="AJ170" s="390"/>
      <c r="AK170" s="390"/>
      <c r="AL170" s="390"/>
      <c r="AM170" s="390"/>
      <c r="AN170" s="390"/>
      <c r="AO170" s="391" t="s">
        <v>1493</v>
      </c>
      <c r="AP170" s="463"/>
      <c r="AQ170" s="794"/>
    </row>
    <row r="171" spans="1:48" s="474" customFormat="1" ht="12.75" customHeight="1">
      <c r="A171" s="51" t="s">
        <v>578</v>
      </c>
      <c r="B171" s="474">
        <v>34</v>
      </c>
      <c r="C171" s="391" t="s">
        <v>582</v>
      </c>
      <c r="D171" s="392" t="s">
        <v>879</v>
      </c>
      <c r="E171" s="391" t="s">
        <v>282</v>
      </c>
      <c r="F171" s="392">
        <v>2</v>
      </c>
      <c r="G171" s="392"/>
      <c r="H171" s="393" t="s">
        <v>968</v>
      </c>
      <c r="I171" s="394" t="s">
        <v>970</v>
      </c>
      <c r="J171" s="392" t="s">
        <v>970</v>
      </c>
      <c r="K171" s="393" t="s">
        <v>680</v>
      </c>
      <c r="L171" s="395">
        <v>26.126999999999999</v>
      </c>
      <c r="M171" s="396">
        <v>0</v>
      </c>
      <c r="N171" s="397">
        <v>39448</v>
      </c>
      <c r="O171" s="398">
        <f>5*L171</f>
        <v>130.63499999999999</v>
      </c>
      <c r="P171" s="391" t="s">
        <v>1732</v>
      </c>
      <c r="Q171" s="395">
        <f>27.25+21.381+18.178+24.759+17.438</f>
        <v>109.006</v>
      </c>
      <c r="R171" s="399"/>
      <c r="S171" s="399"/>
      <c r="T171" s="879">
        <v>40101</v>
      </c>
      <c r="U171" s="397">
        <v>41213</v>
      </c>
      <c r="V171" s="399">
        <v>126.3401506849315</v>
      </c>
      <c r="W171" s="400">
        <f t="shared" si="9"/>
        <v>0.86279776784373474</v>
      </c>
      <c r="X171" s="545" t="s">
        <v>728</v>
      </c>
      <c r="Y171" s="391" t="s">
        <v>291</v>
      </c>
      <c r="Z171" s="391" t="s">
        <v>264</v>
      </c>
      <c r="AA171" s="402">
        <v>39113</v>
      </c>
      <c r="AB171" s="402"/>
      <c r="AC171" s="401">
        <v>39267</v>
      </c>
      <c r="AD171" s="401">
        <v>39612</v>
      </c>
      <c r="AE171" s="401">
        <v>39656</v>
      </c>
      <c r="AF171" s="401"/>
      <c r="AG171" s="390"/>
      <c r="AH171" s="390">
        <v>16.5</v>
      </c>
      <c r="AI171" s="395">
        <f>41736/AH171</f>
        <v>2529.4545454545455</v>
      </c>
      <c r="AJ171" s="390"/>
      <c r="AK171" s="390"/>
      <c r="AL171" s="390"/>
      <c r="AM171" s="390"/>
      <c r="AN171" s="390"/>
      <c r="AO171" s="391" t="s">
        <v>583</v>
      </c>
      <c r="AP171" s="783">
        <v>8.8239999999999998</v>
      </c>
      <c r="AQ171" s="467" t="s">
        <v>2834</v>
      </c>
    </row>
    <row r="172" spans="1:48" s="474" customFormat="1" ht="12.75" customHeight="1">
      <c r="A172" s="51" t="s">
        <v>993</v>
      </c>
      <c r="B172" s="63">
        <v>46</v>
      </c>
      <c r="C172" s="391" t="s">
        <v>995</v>
      </c>
      <c r="D172" s="392" t="s">
        <v>879</v>
      </c>
      <c r="E172" s="391" t="s">
        <v>282</v>
      </c>
      <c r="F172" s="392">
        <v>2</v>
      </c>
      <c r="G172" s="392"/>
      <c r="H172" s="393" t="s">
        <v>968</v>
      </c>
      <c r="I172" s="394" t="s">
        <v>970</v>
      </c>
      <c r="J172" s="392" t="s">
        <v>970</v>
      </c>
      <c r="K172" s="490" t="s">
        <v>2001</v>
      </c>
      <c r="L172" s="395">
        <v>18.233000000000001</v>
      </c>
      <c r="M172" s="396">
        <v>0</v>
      </c>
      <c r="N172" s="397">
        <v>39692</v>
      </c>
      <c r="O172" s="398">
        <f>L172*4.25</f>
        <v>77.490250000000003</v>
      </c>
      <c r="P172" s="391" t="s">
        <v>1732</v>
      </c>
      <c r="Q172" s="395">
        <f>18.233+16.779+20.369+13.293+5.032</f>
        <v>73.706000000000003</v>
      </c>
      <c r="R172" s="399"/>
      <c r="S172" s="399"/>
      <c r="T172" s="879">
        <v>40038</v>
      </c>
      <c r="U172" s="397">
        <v>41274</v>
      </c>
      <c r="V172" s="399">
        <v>79.026317808219176</v>
      </c>
      <c r="W172" s="400">
        <f t="shared" si="9"/>
        <v>0.93267663285121671</v>
      </c>
      <c r="X172" s="545" t="s">
        <v>728</v>
      </c>
      <c r="Y172" s="452" t="s">
        <v>269</v>
      </c>
      <c r="Z172" s="391" t="s">
        <v>997</v>
      </c>
      <c r="AA172" s="402">
        <v>39165</v>
      </c>
      <c r="AB172" s="402"/>
      <c r="AC172" s="401">
        <v>39477</v>
      </c>
      <c r="AD172" s="401">
        <v>39983</v>
      </c>
      <c r="AE172" s="401">
        <v>39994</v>
      </c>
      <c r="AF172" s="401"/>
      <c r="AG172" s="390"/>
      <c r="AH172" s="390">
        <f>7*2</f>
        <v>14</v>
      </c>
      <c r="AI172" s="395">
        <f>28988/AH172</f>
        <v>2070.5714285714284</v>
      </c>
      <c r="AJ172" s="390">
        <f>20.008/Exch!B11</f>
        <v>23.696244652119514</v>
      </c>
      <c r="AK172" s="432">
        <f>AJ172*1000/L172</f>
        <v>1299.6349833883351</v>
      </c>
      <c r="AL172" s="422">
        <f>AJ172*1000/AH172</f>
        <v>1692.5889037228224</v>
      </c>
      <c r="AM172" s="390"/>
      <c r="AN172" s="390"/>
      <c r="AO172" s="391" t="s">
        <v>996</v>
      </c>
      <c r="AP172" s="783"/>
      <c r="AQ172" s="51"/>
    </row>
    <row r="173" spans="1:48" s="474" customFormat="1" ht="12.75" customHeight="1">
      <c r="A173" s="51" t="s">
        <v>1330</v>
      </c>
      <c r="B173" s="63">
        <v>49</v>
      </c>
      <c r="C173" s="391" t="s">
        <v>555</v>
      </c>
      <c r="D173" s="392" t="s">
        <v>879</v>
      </c>
      <c r="E173" s="405" t="s">
        <v>333</v>
      </c>
      <c r="F173" s="392">
        <v>2</v>
      </c>
      <c r="G173" s="392"/>
      <c r="H173" s="393" t="s">
        <v>968</v>
      </c>
      <c r="I173" s="394" t="s">
        <v>1489</v>
      </c>
      <c r="J173" s="392" t="s">
        <v>1709</v>
      </c>
      <c r="K173" s="393" t="s">
        <v>689</v>
      </c>
      <c r="L173" s="395">
        <v>33.856999999999999</v>
      </c>
      <c r="M173" s="396"/>
      <c r="N173" s="397">
        <v>39630</v>
      </c>
      <c r="O173" s="398">
        <v>152.358</v>
      </c>
      <c r="P173" s="391" t="s">
        <v>1732</v>
      </c>
      <c r="Q173" s="980">
        <f>34.384+19.323+33.101+7.444</f>
        <v>94.251999999999995</v>
      </c>
      <c r="R173" s="856"/>
      <c r="S173" s="856"/>
      <c r="T173" s="879">
        <v>39630</v>
      </c>
      <c r="U173" s="397">
        <v>40908</v>
      </c>
      <c r="V173" s="399">
        <v>118.54587945205479</v>
      </c>
      <c r="W173" s="400">
        <f t="shared" si="9"/>
        <v>0.79506770235839097</v>
      </c>
      <c r="X173" s="545" t="s">
        <v>728</v>
      </c>
      <c r="Y173" s="405" t="s">
        <v>269</v>
      </c>
      <c r="Z173" s="391" t="s">
        <v>556</v>
      </c>
      <c r="AA173" s="401">
        <v>39191</v>
      </c>
      <c r="AB173" s="401"/>
      <c r="AC173" s="401">
        <v>39065</v>
      </c>
      <c r="AD173" s="401">
        <v>40128</v>
      </c>
      <c r="AE173" s="401">
        <v>40178</v>
      </c>
      <c r="AF173" s="401"/>
      <c r="AG173" s="390"/>
      <c r="AH173" s="390">
        <v>1.1000000000000001</v>
      </c>
      <c r="AI173" s="395">
        <f>7068/AH173</f>
        <v>6425.454545454545</v>
      </c>
      <c r="AJ173" s="827"/>
      <c r="AK173" s="390"/>
      <c r="AL173" s="390"/>
      <c r="AM173" s="390"/>
      <c r="AN173" s="390"/>
      <c r="AO173" s="391"/>
      <c r="AP173" s="783">
        <v>10.92</v>
      </c>
      <c r="AQ173" s="467" t="s">
        <v>2833</v>
      </c>
    </row>
    <row r="174" spans="1:48" s="474" customFormat="1" ht="12.75" customHeight="1">
      <c r="A174" s="51" t="s">
        <v>1741</v>
      </c>
      <c r="B174" s="59">
        <v>64</v>
      </c>
      <c r="C174" s="391" t="s">
        <v>3</v>
      </c>
      <c r="D174" s="392" t="s">
        <v>879</v>
      </c>
      <c r="E174" s="391" t="s">
        <v>333</v>
      </c>
      <c r="F174" s="392">
        <v>2</v>
      </c>
      <c r="G174" s="392"/>
      <c r="H174" s="393" t="s">
        <v>968</v>
      </c>
      <c r="I174" s="394" t="s">
        <v>981</v>
      </c>
      <c r="J174" s="391" t="s">
        <v>1173</v>
      </c>
      <c r="K174" s="393" t="s">
        <v>4</v>
      </c>
      <c r="L174" s="395">
        <v>563.56200000000001</v>
      </c>
      <c r="M174" s="396">
        <v>0</v>
      </c>
      <c r="N174" s="397">
        <v>39676</v>
      </c>
      <c r="O174" s="398">
        <f>L174*3.75</f>
        <v>2113.3575000000001</v>
      </c>
      <c r="P174" s="391" t="s">
        <v>1732</v>
      </c>
      <c r="Q174" s="395">
        <f>701.55+927.598+560.081+103.241</f>
        <v>2292.4699999999998</v>
      </c>
      <c r="R174" s="399"/>
      <c r="S174" s="399"/>
      <c r="T174" s="879">
        <v>40355</v>
      </c>
      <c r="U174" s="397">
        <v>41274</v>
      </c>
      <c r="V174" s="399">
        <v>2467.3207561643835</v>
      </c>
      <c r="W174" s="400">
        <f t="shared" si="9"/>
        <v>0.92913335012177301</v>
      </c>
      <c r="X174" s="545" t="s">
        <v>1732</v>
      </c>
      <c r="Y174" s="391" t="s">
        <v>1084</v>
      </c>
      <c r="Z174" s="391" t="s">
        <v>5</v>
      </c>
      <c r="AA174" s="402">
        <v>39266</v>
      </c>
      <c r="AB174" s="402"/>
      <c r="AC174" s="401">
        <v>39637</v>
      </c>
      <c r="AD174" s="401">
        <v>39947</v>
      </c>
      <c r="AE174" s="401">
        <v>39963</v>
      </c>
      <c r="AF174" s="401"/>
      <c r="AG174" s="390"/>
      <c r="AH174" s="390"/>
      <c r="AI174" s="395"/>
      <c r="AJ174" s="390"/>
      <c r="AK174" s="390"/>
      <c r="AL174" s="390"/>
      <c r="AM174" s="390"/>
      <c r="AN174" s="390"/>
      <c r="AO174" s="391"/>
      <c r="AP174" s="463"/>
      <c r="AQ174" s="51"/>
    </row>
    <row r="175" spans="1:48" s="474" customFormat="1" ht="14.25" customHeight="1">
      <c r="A175" s="51" t="s">
        <v>1098</v>
      </c>
      <c r="B175" s="59">
        <v>89</v>
      </c>
      <c r="C175" s="391" t="s">
        <v>1169</v>
      </c>
      <c r="D175" s="392" t="s">
        <v>879</v>
      </c>
      <c r="E175" s="391" t="s">
        <v>333</v>
      </c>
      <c r="F175" s="392">
        <v>2</v>
      </c>
      <c r="G175" s="392"/>
      <c r="H175" s="393" t="s">
        <v>968</v>
      </c>
      <c r="I175" s="394" t="s">
        <v>981</v>
      </c>
      <c r="J175" s="392" t="s">
        <v>1173</v>
      </c>
      <c r="K175" s="393" t="s">
        <v>4</v>
      </c>
      <c r="L175" s="395">
        <v>1048.3969999999999</v>
      </c>
      <c r="M175" s="396">
        <v>0</v>
      </c>
      <c r="N175" s="397">
        <v>39610</v>
      </c>
      <c r="O175" s="398">
        <f>L175*4.5145</f>
        <v>4732.9882564999998</v>
      </c>
      <c r="P175" s="391" t="s">
        <v>1731</v>
      </c>
      <c r="Q175" s="395">
        <f>813.567+585.512+855.112+1164.996+1056.081+875.279</f>
        <v>5350.5470000000005</v>
      </c>
      <c r="R175" s="399"/>
      <c r="S175" s="399"/>
      <c r="T175" s="879">
        <v>40339</v>
      </c>
      <c r="U175" s="397">
        <v>41274</v>
      </c>
      <c r="V175" s="399">
        <v>4779.5413917808219</v>
      </c>
      <c r="W175" s="400">
        <f t="shared" si="9"/>
        <v>1.1194687024159082</v>
      </c>
      <c r="X175" s="545" t="s">
        <v>728</v>
      </c>
      <c r="Y175" s="391" t="s">
        <v>1084</v>
      </c>
      <c r="Z175" s="391" t="s">
        <v>1171</v>
      </c>
      <c r="AA175" s="402">
        <v>39378</v>
      </c>
      <c r="AB175" s="402"/>
      <c r="AC175" s="401">
        <v>40100</v>
      </c>
      <c r="AD175" s="401">
        <v>40100</v>
      </c>
      <c r="AE175" s="401">
        <v>40144</v>
      </c>
      <c r="AF175" s="401"/>
      <c r="AG175" s="390"/>
      <c r="AH175" s="390">
        <v>0</v>
      </c>
      <c r="AI175" s="395"/>
      <c r="AJ175" s="378"/>
      <c r="AK175" s="390"/>
      <c r="AL175" s="390"/>
      <c r="AM175" s="390"/>
      <c r="AN175" s="390"/>
      <c r="AO175" s="391"/>
      <c r="AP175" s="463"/>
      <c r="AQ175" s="51"/>
      <c r="AR175" s="820"/>
      <c r="AS175" s="820"/>
      <c r="AT175" s="820"/>
      <c r="AU175" s="820"/>
      <c r="AV175" s="464"/>
    </row>
    <row r="176" spans="1:48" s="474" customFormat="1" ht="12.75" customHeight="1">
      <c r="A176" s="51" t="s">
        <v>1410</v>
      </c>
      <c r="B176" s="63">
        <v>163</v>
      </c>
      <c r="C176" s="445" t="s">
        <v>2027</v>
      </c>
      <c r="D176" s="420" t="s">
        <v>879</v>
      </c>
      <c r="E176" s="419" t="s">
        <v>1462</v>
      </c>
      <c r="F176" s="420">
        <v>2</v>
      </c>
      <c r="G176" s="420"/>
      <c r="H176" s="393" t="s">
        <v>968</v>
      </c>
      <c r="I176" s="471" t="s">
        <v>970</v>
      </c>
      <c r="J176" s="504"/>
      <c r="K176" s="421" t="s">
        <v>680</v>
      </c>
      <c r="L176" s="422">
        <v>33.988</v>
      </c>
      <c r="M176" s="423">
        <v>0</v>
      </c>
      <c r="N176" s="444">
        <v>39995</v>
      </c>
      <c r="O176" s="424">
        <f>L176*3.5</f>
        <v>118.958</v>
      </c>
      <c r="P176" s="419" t="s">
        <v>1732</v>
      </c>
      <c r="Q176" s="422">
        <f>41.993+33.195+24.903</f>
        <v>100.09100000000001</v>
      </c>
      <c r="R176" s="425"/>
      <c r="S176" s="425"/>
      <c r="T176" s="881">
        <v>40645</v>
      </c>
      <c r="U176" s="444">
        <v>41213</v>
      </c>
      <c r="V176" s="425">
        <v>113.41749041095889</v>
      </c>
      <c r="W176" s="400">
        <f t="shared" si="9"/>
        <v>0.88250057056745435</v>
      </c>
      <c r="X176" s="545" t="s">
        <v>728</v>
      </c>
      <c r="Y176" s="445" t="s">
        <v>1131</v>
      </c>
      <c r="Z176" s="419" t="s">
        <v>1463</v>
      </c>
      <c r="AA176" s="430">
        <v>39746</v>
      </c>
      <c r="AB176" s="430"/>
      <c r="AC176" s="431"/>
      <c r="AD176" s="431">
        <v>40430</v>
      </c>
      <c r="AE176" s="430"/>
      <c r="AF176" s="431"/>
      <c r="AG176" s="432"/>
      <c r="AH176" s="432">
        <v>20</v>
      </c>
      <c r="AI176" s="422">
        <f>55000/AH176</f>
        <v>2750</v>
      </c>
      <c r="AJ176" s="422"/>
      <c r="AK176" s="422"/>
      <c r="AL176" s="422"/>
      <c r="AM176" s="432"/>
      <c r="AN176" s="422"/>
      <c r="AO176" s="419" t="s">
        <v>1416</v>
      </c>
      <c r="AP176" s="463"/>
      <c r="AQ176" s="51"/>
    </row>
    <row r="177" spans="1:48" s="474" customFormat="1" ht="12.75" customHeight="1">
      <c r="A177" s="51" t="s">
        <v>1554</v>
      </c>
      <c r="B177" s="63">
        <v>173</v>
      </c>
      <c r="C177" s="429" t="s">
        <v>1561</v>
      </c>
      <c r="D177" s="420" t="s">
        <v>879</v>
      </c>
      <c r="E177" s="419" t="s">
        <v>282</v>
      </c>
      <c r="F177" s="420">
        <v>2</v>
      </c>
      <c r="G177" s="420"/>
      <c r="H177" s="393" t="s">
        <v>968</v>
      </c>
      <c r="I177" s="471" t="s">
        <v>970</v>
      </c>
      <c r="J177" s="552" t="s">
        <v>970</v>
      </c>
      <c r="K177" s="490" t="s">
        <v>2001</v>
      </c>
      <c r="L177" s="422">
        <v>21.71</v>
      </c>
      <c r="M177" s="423">
        <v>0</v>
      </c>
      <c r="N177" s="444">
        <v>40179</v>
      </c>
      <c r="O177" s="424">
        <f>L177*3</f>
        <v>65.13</v>
      </c>
      <c r="P177" s="419" t="s">
        <v>1732</v>
      </c>
      <c r="Q177" s="422">
        <f>32.765+16.76+6.432</f>
        <v>55.957000000000008</v>
      </c>
      <c r="R177" s="425"/>
      <c r="S177" s="425"/>
      <c r="T177" s="881">
        <v>41186</v>
      </c>
      <c r="U177" s="444">
        <v>41274</v>
      </c>
      <c r="V177" s="425">
        <v>65.13</v>
      </c>
      <c r="W177" s="400">
        <f t="shared" si="9"/>
        <v>0.85915860586519288</v>
      </c>
      <c r="X177" s="545" t="s">
        <v>728</v>
      </c>
      <c r="Y177" s="419" t="s">
        <v>2496</v>
      </c>
      <c r="Z177" s="419" t="s">
        <v>1138</v>
      </c>
      <c r="AA177" s="430">
        <v>39879</v>
      </c>
      <c r="AB177" s="430"/>
      <c r="AC177" s="431">
        <v>40431</v>
      </c>
      <c r="AD177" s="431">
        <v>40698</v>
      </c>
      <c r="AE177" s="431">
        <v>40743</v>
      </c>
      <c r="AF177" s="431"/>
      <c r="AG177" s="432"/>
      <c r="AH177" s="432">
        <f>6*2</f>
        <v>12</v>
      </c>
      <c r="AI177" s="422">
        <f>33196/AH177</f>
        <v>2766.3333333333335</v>
      </c>
      <c r="AJ177" s="422">
        <f>22.451/Exch!B11</f>
        <v>26.589583600796445</v>
      </c>
      <c r="AK177" s="432">
        <f t="shared" ref="AK177:AK185" si="10">AJ177*1000/L177</f>
        <v>1224.7620267524849</v>
      </c>
      <c r="AL177" s="432">
        <f t="shared" ref="AL177:AL185" si="11">AJ177*1000/AH177</f>
        <v>2215.7986333997037</v>
      </c>
      <c r="AM177" s="432"/>
      <c r="AN177" s="422"/>
      <c r="AO177" s="419" t="s">
        <v>1566</v>
      </c>
      <c r="AP177" s="463"/>
      <c r="AQ177" s="51"/>
      <c r="AR177" s="489"/>
      <c r="AS177" s="489"/>
      <c r="AT177" s="489"/>
      <c r="AU177" s="489"/>
      <c r="AV177" s="489"/>
    </row>
    <row r="178" spans="1:48" s="474" customFormat="1" ht="12.75" customHeight="1">
      <c r="A178" s="51" t="s">
        <v>9</v>
      </c>
      <c r="B178" s="489">
        <v>178</v>
      </c>
      <c r="C178" s="429" t="s">
        <v>1129</v>
      </c>
      <c r="D178" s="420" t="s">
        <v>879</v>
      </c>
      <c r="E178" s="419" t="s">
        <v>1130</v>
      </c>
      <c r="F178" s="420">
        <v>2</v>
      </c>
      <c r="G178" s="420"/>
      <c r="H178" s="421" t="s">
        <v>968</v>
      </c>
      <c r="I178" s="471" t="s">
        <v>970</v>
      </c>
      <c r="J178" s="552" t="s">
        <v>970</v>
      </c>
      <c r="K178" s="421" t="s">
        <v>839</v>
      </c>
      <c r="L178" s="422">
        <v>11.646000000000001</v>
      </c>
      <c r="M178" s="423">
        <v>0</v>
      </c>
      <c r="N178" s="444">
        <v>40118</v>
      </c>
      <c r="O178" s="424">
        <v>46.584000000000003</v>
      </c>
      <c r="P178" s="419" t="s">
        <v>728</v>
      </c>
      <c r="Q178" s="422">
        <f>13.039+17.345+11.737</f>
        <v>42.121000000000002</v>
      </c>
      <c r="R178" s="425"/>
      <c r="S178" s="425"/>
      <c r="T178" s="881">
        <v>40744</v>
      </c>
      <c r="U178" s="444">
        <v>41213</v>
      </c>
      <c r="V178" s="425">
        <v>34.938000000000002</v>
      </c>
      <c r="W178" s="400">
        <f t="shared" si="9"/>
        <v>1.2055927643253763</v>
      </c>
      <c r="X178" s="545" t="s">
        <v>728</v>
      </c>
      <c r="Y178" s="419" t="s">
        <v>1131</v>
      </c>
      <c r="Z178" s="419" t="s">
        <v>1132</v>
      </c>
      <c r="AA178" s="430">
        <v>39926</v>
      </c>
      <c r="AB178" s="430"/>
      <c r="AC178" s="431">
        <v>40193</v>
      </c>
      <c r="AD178" s="431">
        <v>40337</v>
      </c>
      <c r="AE178" s="431">
        <v>40389</v>
      </c>
      <c r="AF178" s="431"/>
      <c r="AG178" s="432"/>
      <c r="AH178" s="432">
        <f>2*4+0.8+0.33</f>
        <v>9.1300000000000008</v>
      </c>
      <c r="AI178" s="422">
        <f>23429/AH178</f>
        <v>2566.155531215772</v>
      </c>
      <c r="AJ178" s="432">
        <f>52.229/12/Exch!B11</f>
        <v>5.1547346142191044</v>
      </c>
      <c r="AK178" s="432">
        <f t="shared" si="10"/>
        <v>442.61846249520045</v>
      </c>
      <c r="AL178" s="432">
        <f t="shared" si="11"/>
        <v>564.59305741720743</v>
      </c>
      <c r="AM178" s="432"/>
      <c r="AN178" s="422"/>
      <c r="AO178" s="419"/>
      <c r="AP178" s="463"/>
      <c r="AQ178" s="51"/>
    </row>
    <row r="179" spans="1:48" s="474" customFormat="1" ht="12.75" customHeight="1">
      <c r="A179" s="51" t="s">
        <v>49</v>
      </c>
      <c r="B179" s="59">
        <v>205</v>
      </c>
      <c r="C179" s="419" t="s">
        <v>60</v>
      </c>
      <c r="D179" s="420" t="s">
        <v>879</v>
      </c>
      <c r="E179" s="419" t="s">
        <v>203</v>
      </c>
      <c r="F179" s="420">
        <v>2</v>
      </c>
      <c r="G179" s="420"/>
      <c r="H179" s="404" t="s">
        <v>968</v>
      </c>
      <c r="I179" s="471" t="s">
        <v>970</v>
      </c>
      <c r="J179" s="419" t="s">
        <v>970</v>
      </c>
      <c r="K179" s="490" t="s">
        <v>2001</v>
      </c>
      <c r="L179" s="422">
        <v>36.808999999999997</v>
      </c>
      <c r="M179" s="423">
        <v>0</v>
      </c>
      <c r="N179" s="444">
        <v>40544</v>
      </c>
      <c r="O179" s="424">
        <f>L179*2</f>
        <v>73.617999999999995</v>
      </c>
      <c r="P179" s="419" t="s">
        <v>728</v>
      </c>
      <c r="Q179" s="422"/>
      <c r="R179" s="425"/>
      <c r="S179" s="425"/>
      <c r="T179" s="881"/>
      <c r="U179" s="444"/>
      <c r="V179" s="425"/>
      <c r="W179" s="427"/>
      <c r="X179" s="543"/>
      <c r="Y179" s="419" t="s">
        <v>2571</v>
      </c>
      <c r="Z179" s="419" t="s">
        <v>1084</v>
      </c>
      <c r="AA179" s="805">
        <v>40157</v>
      </c>
      <c r="AB179" s="430"/>
      <c r="AC179" s="431">
        <v>40452</v>
      </c>
      <c r="AD179" s="431">
        <v>40750</v>
      </c>
      <c r="AE179" s="431">
        <v>40794</v>
      </c>
      <c r="AF179" s="431"/>
      <c r="AG179" s="432"/>
      <c r="AH179" s="432">
        <f>2*10+2*0.8</f>
        <v>21.6</v>
      </c>
      <c r="AI179" s="422">
        <f>58800/AH179</f>
        <v>2722.2222222222222</v>
      </c>
      <c r="AJ179" s="432">
        <f>37.3/Exch!B11</f>
        <v>44.175825945824563</v>
      </c>
      <c r="AK179" s="423">
        <f t="shared" si="10"/>
        <v>1200.1365412215646</v>
      </c>
      <c r="AL179" s="425">
        <f t="shared" si="11"/>
        <v>2045.1771271215075</v>
      </c>
      <c r="AM179" s="432"/>
      <c r="AN179" s="432"/>
      <c r="AO179" s="419"/>
      <c r="AP179" s="514"/>
      <c r="AQ179" s="781"/>
    </row>
    <row r="180" spans="1:48" s="474" customFormat="1" ht="12.75" customHeight="1">
      <c r="A180" s="467" t="s">
        <v>1901</v>
      </c>
      <c r="B180" s="489">
        <v>229</v>
      </c>
      <c r="C180" s="445" t="s">
        <v>1903</v>
      </c>
      <c r="D180" s="449" t="s">
        <v>879</v>
      </c>
      <c r="E180" s="445" t="s">
        <v>1938</v>
      </c>
      <c r="F180" s="420">
        <v>2</v>
      </c>
      <c r="G180" s="420"/>
      <c r="H180" s="421" t="s">
        <v>968</v>
      </c>
      <c r="I180" s="724" t="s">
        <v>970</v>
      </c>
      <c r="J180" s="449" t="s">
        <v>970</v>
      </c>
      <c r="K180" s="490" t="s">
        <v>2001</v>
      </c>
      <c r="L180" s="819">
        <v>10.32</v>
      </c>
      <c r="M180" s="505">
        <v>0</v>
      </c>
      <c r="N180" s="479">
        <v>40452</v>
      </c>
      <c r="O180" s="817">
        <v>23.221</v>
      </c>
      <c r="P180" s="445" t="s">
        <v>728</v>
      </c>
      <c r="Q180" s="845">
        <v>11.862</v>
      </c>
      <c r="R180" s="478"/>
      <c r="S180" s="478"/>
      <c r="T180" s="880">
        <v>41061</v>
      </c>
      <c r="U180" s="479">
        <v>40908</v>
      </c>
      <c r="V180" s="478">
        <v>12.892931506849315</v>
      </c>
      <c r="W180" s="400">
        <f>Q180/V180</f>
        <v>0.92003901468788252</v>
      </c>
      <c r="X180" s="544" t="s">
        <v>728</v>
      </c>
      <c r="Y180" s="445" t="s">
        <v>1084</v>
      </c>
      <c r="Z180" s="532" t="s">
        <v>1944</v>
      </c>
      <c r="AA180" s="431">
        <v>40338</v>
      </c>
      <c r="AB180" s="805"/>
      <c r="AC180" s="805">
        <v>40477</v>
      </c>
      <c r="AD180" s="805">
        <v>40570</v>
      </c>
      <c r="AE180" s="805">
        <v>40620</v>
      </c>
      <c r="AF180" s="805"/>
      <c r="AG180" s="802"/>
      <c r="AH180" s="803">
        <v>6</v>
      </c>
      <c r="AI180" s="845">
        <f>16500/AH180</f>
        <v>2750</v>
      </c>
      <c r="AJ180" s="803">
        <v>12.36</v>
      </c>
      <c r="AK180" s="423">
        <f t="shared" si="10"/>
        <v>1197.6744186046512</v>
      </c>
      <c r="AL180" s="425">
        <f t="shared" si="11"/>
        <v>2060</v>
      </c>
      <c r="AM180" s="802"/>
      <c r="AN180" s="802"/>
      <c r="AO180" s="480"/>
      <c r="AP180" s="787"/>
      <c r="AQ180" s="51"/>
    </row>
    <row r="181" spans="1:48" s="474" customFormat="1" ht="12.75" customHeight="1">
      <c r="A181" s="467" t="s">
        <v>2082</v>
      </c>
      <c r="B181" s="499">
        <v>235</v>
      </c>
      <c r="C181" s="445" t="s">
        <v>2080</v>
      </c>
      <c r="D181" s="449" t="s">
        <v>879</v>
      </c>
      <c r="E181" s="445" t="s">
        <v>282</v>
      </c>
      <c r="F181" s="420">
        <v>2</v>
      </c>
      <c r="G181" s="420"/>
      <c r="H181" s="421" t="s">
        <v>968</v>
      </c>
      <c r="I181" s="455" t="s">
        <v>970</v>
      </c>
      <c r="J181" s="552" t="s">
        <v>970</v>
      </c>
      <c r="K181" s="421" t="s">
        <v>2001</v>
      </c>
      <c r="L181" s="422">
        <v>53.835999999999999</v>
      </c>
      <c r="M181" s="423">
        <v>0</v>
      </c>
      <c r="N181" s="444">
        <v>40451</v>
      </c>
      <c r="O181" s="424">
        <f>L181*2.333</f>
        <v>125.599388</v>
      </c>
      <c r="P181" s="513" t="s">
        <v>728</v>
      </c>
      <c r="Q181" s="422">
        <f>67.812+42.44</f>
        <v>110.252</v>
      </c>
      <c r="R181" s="425"/>
      <c r="S181" s="425"/>
      <c r="T181" s="881">
        <v>41248</v>
      </c>
      <c r="U181" s="444">
        <v>41213</v>
      </c>
      <c r="V181" s="425">
        <v>112.39186849315068</v>
      </c>
      <c r="W181" s="400">
        <f>Q181/V181</f>
        <v>0.98096064669232641</v>
      </c>
      <c r="X181" s="545" t="s">
        <v>728</v>
      </c>
      <c r="Y181" s="445" t="s">
        <v>3657</v>
      </c>
      <c r="Z181" s="445" t="s">
        <v>1138</v>
      </c>
      <c r="AA181" s="430">
        <v>40458</v>
      </c>
      <c r="AB181" s="430"/>
      <c r="AC181" s="431">
        <v>40669</v>
      </c>
      <c r="AD181" s="431">
        <v>40772</v>
      </c>
      <c r="AE181" s="431">
        <v>40816</v>
      </c>
      <c r="AF181" s="431"/>
      <c r="AG181" s="432"/>
      <c r="AH181" s="432">
        <f>17*2</f>
        <v>34</v>
      </c>
      <c r="AI181" s="422">
        <f>86000/AH181</f>
        <v>2529.4117647058824</v>
      </c>
      <c r="AJ181" s="432">
        <f>61.127/Exch!B11</f>
        <v>72.395059318777967</v>
      </c>
      <c r="AK181" s="432">
        <f t="shared" si="10"/>
        <v>1344.733251333271</v>
      </c>
      <c r="AL181" s="422">
        <f t="shared" si="11"/>
        <v>2129.2664505522935</v>
      </c>
      <c r="AM181" s="432"/>
      <c r="AN181" s="432"/>
      <c r="AO181" s="419"/>
      <c r="AP181" s="463"/>
      <c r="AQ181" s="51"/>
    </row>
    <row r="182" spans="1:48" s="474" customFormat="1" ht="12.75" customHeight="1">
      <c r="A182" s="467" t="s">
        <v>2083</v>
      </c>
      <c r="B182" s="446">
        <v>236</v>
      </c>
      <c r="C182" s="445" t="s">
        <v>2081</v>
      </c>
      <c r="D182" s="449" t="s">
        <v>879</v>
      </c>
      <c r="E182" s="445" t="s">
        <v>1462</v>
      </c>
      <c r="F182" s="420">
        <v>2</v>
      </c>
      <c r="G182" s="420"/>
      <c r="H182" s="421" t="s">
        <v>968</v>
      </c>
      <c r="I182" s="455" t="s">
        <v>970</v>
      </c>
      <c r="J182" s="552" t="s">
        <v>970</v>
      </c>
      <c r="K182" s="421" t="s">
        <v>2001</v>
      </c>
      <c r="L182" s="422">
        <v>25.881</v>
      </c>
      <c r="M182" s="423">
        <v>0</v>
      </c>
      <c r="N182" s="444">
        <v>40513</v>
      </c>
      <c r="O182" s="424">
        <f>2.083*L182</f>
        <v>53.910123000000006</v>
      </c>
      <c r="P182" s="513" t="s">
        <v>728</v>
      </c>
      <c r="Q182" s="422">
        <f>17.204+20.039</f>
        <v>37.243000000000002</v>
      </c>
      <c r="R182" s="425"/>
      <c r="S182" s="425"/>
      <c r="T182" s="881">
        <v>41022</v>
      </c>
      <c r="U182" s="444">
        <v>41213</v>
      </c>
      <c r="V182" s="425">
        <v>49.634794520547942</v>
      </c>
      <c r="W182" s="400">
        <f>Q182/V182</f>
        <v>0.75034056975056174</v>
      </c>
      <c r="X182" s="545" t="s">
        <v>728</v>
      </c>
      <c r="Y182" s="419" t="s">
        <v>3047</v>
      </c>
      <c r="Z182" s="445" t="s">
        <v>2115</v>
      </c>
      <c r="AA182" s="430">
        <v>40458</v>
      </c>
      <c r="AB182" s="430"/>
      <c r="AC182" s="431">
        <v>40647</v>
      </c>
      <c r="AD182" s="431">
        <v>40780</v>
      </c>
      <c r="AE182" s="431">
        <v>40865</v>
      </c>
      <c r="AF182" s="431"/>
      <c r="AG182" s="432"/>
      <c r="AH182" s="432">
        <f>7*2.5</f>
        <v>17.5</v>
      </c>
      <c r="AI182" s="422">
        <f>44000/AH182</f>
        <v>2514.2857142857142</v>
      </c>
      <c r="AJ182" s="432">
        <f>98.565*0.29/Exch!B11</f>
        <v>33.852953953392962</v>
      </c>
      <c r="AK182" s="432">
        <f t="shared" si="10"/>
        <v>1308.0234130595018</v>
      </c>
      <c r="AL182" s="422">
        <f t="shared" si="11"/>
        <v>1934.4545116224551</v>
      </c>
      <c r="AM182" s="432"/>
      <c r="AN182" s="432"/>
      <c r="AO182" s="419"/>
      <c r="AP182" s="463"/>
      <c r="AQ182" s="51"/>
      <c r="AR182" s="489"/>
      <c r="AS182" s="489"/>
      <c r="AT182" s="489"/>
      <c r="AU182" s="489"/>
      <c r="AV182" s="489"/>
    </row>
    <row r="183" spans="1:48" s="474" customFormat="1" ht="12.75" customHeight="1">
      <c r="A183" s="467" t="s">
        <v>2227</v>
      </c>
      <c r="B183" s="468">
        <v>244</v>
      </c>
      <c r="C183" s="445" t="s">
        <v>2233</v>
      </c>
      <c r="D183" s="449" t="s">
        <v>879</v>
      </c>
      <c r="E183" s="445" t="s">
        <v>2234</v>
      </c>
      <c r="F183" s="420">
        <v>2</v>
      </c>
      <c r="G183" s="420"/>
      <c r="H183" s="421" t="s">
        <v>968</v>
      </c>
      <c r="I183" s="455" t="s">
        <v>970</v>
      </c>
      <c r="J183" s="552" t="s">
        <v>970</v>
      </c>
      <c r="K183" s="450" t="s">
        <v>839</v>
      </c>
      <c r="L183" s="432">
        <v>8.5259999999999998</v>
      </c>
      <c r="M183" s="423">
        <v>0</v>
      </c>
      <c r="N183" s="444">
        <v>40544</v>
      </c>
      <c r="O183" s="424">
        <f>L183*2</f>
        <v>17.052</v>
      </c>
      <c r="P183" s="513" t="s">
        <v>728</v>
      </c>
      <c r="Q183" s="422"/>
      <c r="R183" s="425"/>
      <c r="S183" s="425"/>
      <c r="T183" s="881"/>
      <c r="U183" s="444"/>
      <c r="V183" s="425"/>
      <c r="W183" s="419"/>
      <c r="X183" s="543"/>
      <c r="Y183" s="445" t="s">
        <v>1084</v>
      </c>
      <c r="Z183" s="445" t="s">
        <v>2235</v>
      </c>
      <c r="AA183" s="431">
        <v>40557</v>
      </c>
      <c r="AB183" s="431"/>
      <c r="AC183" s="431">
        <v>40799</v>
      </c>
      <c r="AD183" s="431">
        <v>40906</v>
      </c>
      <c r="AE183" s="431">
        <v>40593</v>
      </c>
      <c r="AF183" s="431"/>
      <c r="AG183" s="420"/>
      <c r="AH183" s="432">
        <f>2*3</f>
        <v>6</v>
      </c>
      <c r="AI183" s="422">
        <f>14100/AH183</f>
        <v>2350</v>
      </c>
      <c r="AJ183" s="432">
        <f>29.337/3.4528/Exch!B11</f>
        <v>10.062829730237629</v>
      </c>
      <c r="AK183" s="432">
        <f t="shared" si="10"/>
        <v>1180.2521381934821</v>
      </c>
      <c r="AL183" s="422">
        <f t="shared" si="11"/>
        <v>1677.1382883729382</v>
      </c>
      <c r="AM183" s="420"/>
      <c r="AN183" s="420"/>
      <c r="AO183" s="419"/>
      <c r="AP183" s="530"/>
      <c r="AQ183" s="51"/>
    </row>
    <row r="184" spans="1:48" s="474" customFormat="1" ht="12.75" customHeight="1">
      <c r="A184" s="467" t="s">
        <v>2670</v>
      </c>
      <c r="B184" s="489">
        <v>263</v>
      </c>
      <c r="C184" s="445" t="s">
        <v>2662</v>
      </c>
      <c r="D184" s="449" t="s">
        <v>879</v>
      </c>
      <c r="E184" s="445" t="s">
        <v>2682</v>
      </c>
      <c r="F184" s="420">
        <v>2</v>
      </c>
      <c r="G184" s="420"/>
      <c r="H184" s="421" t="s">
        <v>968</v>
      </c>
      <c r="I184" s="455" t="s">
        <v>970</v>
      </c>
      <c r="J184" s="725" t="s">
        <v>970</v>
      </c>
      <c r="K184" s="421" t="s">
        <v>839</v>
      </c>
      <c r="L184" s="432">
        <v>22.509</v>
      </c>
      <c r="M184" s="423">
        <v>0</v>
      </c>
      <c r="N184" s="444">
        <v>40787</v>
      </c>
      <c r="O184" s="424">
        <f>L184*1.33</f>
        <v>29.936970000000002</v>
      </c>
      <c r="P184" s="445" t="s">
        <v>728</v>
      </c>
      <c r="Q184" s="422">
        <f>25.341+6.317</f>
        <v>31.658000000000001</v>
      </c>
      <c r="R184" s="425"/>
      <c r="S184" s="425"/>
      <c r="T184" s="881">
        <v>41263</v>
      </c>
      <c r="U184" s="444">
        <v>41274</v>
      </c>
      <c r="V184" s="425">
        <v>30.032556164383561</v>
      </c>
      <c r="W184" s="400">
        <f>Q184/V184</f>
        <v>1.0541227269074118</v>
      </c>
      <c r="X184" s="543" t="s">
        <v>728</v>
      </c>
      <c r="Y184" s="445" t="s">
        <v>2496</v>
      </c>
      <c r="Z184" s="419" t="s">
        <v>2683</v>
      </c>
      <c r="AA184" s="431">
        <v>40821</v>
      </c>
      <c r="AB184" s="431"/>
      <c r="AC184" s="431">
        <v>40892</v>
      </c>
      <c r="AD184" s="431">
        <v>41043</v>
      </c>
      <c r="AE184" s="431">
        <v>41103</v>
      </c>
      <c r="AF184" s="431"/>
      <c r="AG184" s="420"/>
      <c r="AH184" s="420">
        <f>6+7.8</f>
        <v>13.8</v>
      </c>
      <c r="AI184" s="422">
        <f>35957/AH184</f>
        <v>2605.5797101449275</v>
      </c>
      <c r="AJ184" s="432">
        <f>27.585/Exch!B11</f>
        <v>32.669977445457661</v>
      </c>
      <c r="AK184" s="432">
        <f t="shared" si="10"/>
        <v>1451.4184302038145</v>
      </c>
      <c r="AL184" s="422">
        <f t="shared" si="11"/>
        <v>2367.3896699606998</v>
      </c>
      <c r="AM184" s="420"/>
      <c r="AN184" s="420"/>
      <c r="AO184" s="419"/>
      <c r="AP184" s="463"/>
      <c r="AQ184" s="466"/>
    </row>
    <row r="185" spans="1:48" s="474" customFormat="1" ht="12.75" customHeight="1">
      <c r="A185" s="467" t="s">
        <v>2810</v>
      </c>
      <c r="B185" s="468">
        <v>292</v>
      </c>
      <c r="C185" s="445" t="s">
        <v>2808</v>
      </c>
      <c r="D185" s="449" t="s">
        <v>879</v>
      </c>
      <c r="E185" s="445" t="s">
        <v>333</v>
      </c>
      <c r="F185" s="420">
        <v>2</v>
      </c>
      <c r="G185" s="419"/>
      <c r="H185" s="421" t="s">
        <v>968</v>
      </c>
      <c r="I185" s="455" t="s">
        <v>970</v>
      </c>
      <c r="J185" s="449" t="s">
        <v>970</v>
      </c>
      <c r="K185" s="450" t="s">
        <v>2001</v>
      </c>
      <c r="L185" s="422">
        <v>9.3309999999999995</v>
      </c>
      <c r="M185" s="423">
        <v>0</v>
      </c>
      <c r="N185" s="444">
        <v>41183</v>
      </c>
      <c r="O185" s="424">
        <f>L185/4</f>
        <v>2.3327499999999999</v>
      </c>
      <c r="P185" s="513" t="s">
        <v>728</v>
      </c>
      <c r="Q185" s="422"/>
      <c r="R185" s="425"/>
      <c r="S185" s="425"/>
      <c r="T185" s="881"/>
      <c r="U185" s="444"/>
      <c r="V185" s="425"/>
      <c r="W185" s="419"/>
      <c r="X185" s="543"/>
      <c r="Y185" s="445" t="s">
        <v>1084</v>
      </c>
      <c r="Z185" s="445" t="s">
        <v>2811</v>
      </c>
      <c r="AA185" s="431">
        <v>40884</v>
      </c>
      <c r="AB185" s="431"/>
      <c r="AC185" s="431">
        <v>41235</v>
      </c>
      <c r="AD185" s="431">
        <v>41255</v>
      </c>
      <c r="AE185" s="431">
        <v>41344</v>
      </c>
      <c r="AF185" s="431"/>
      <c r="AG185" s="420"/>
      <c r="AH185" s="420">
        <v>6</v>
      </c>
      <c r="AI185" s="420">
        <f>14910/AH185</f>
        <v>2485</v>
      </c>
      <c r="AJ185" s="432">
        <f>33.7588/2.5793</f>
        <v>13.088357306245882</v>
      </c>
      <c r="AK185" s="432">
        <f t="shared" si="10"/>
        <v>1402.6746657642141</v>
      </c>
      <c r="AL185" s="422">
        <f t="shared" si="11"/>
        <v>2181.3928843743138</v>
      </c>
      <c r="AM185" s="420"/>
      <c r="AN185" s="420"/>
      <c r="AO185" s="445"/>
      <c r="AP185" s="463"/>
      <c r="AQ185" s="466"/>
    </row>
    <row r="186" spans="1:48" s="474" customFormat="1" ht="12.75" customHeight="1">
      <c r="A186" s="467" t="s">
        <v>3106</v>
      </c>
      <c r="B186" s="468">
        <v>322</v>
      </c>
      <c r="C186" s="445" t="s">
        <v>3105</v>
      </c>
      <c r="D186" s="449" t="s">
        <v>879</v>
      </c>
      <c r="E186" s="445" t="s">
        <v>282</v>
      </c>
      <c r="F186" s="420">
        <v>2</v>
      </c>
      <c r="G186" s="420"/>
      <c r="H186" s="421" t="s">
        <v>968</v>
      </c>
      <c r="I186" s="455" t="s">
        <v>970</v>
      </c>
      <c r="J186" s="449" t="s">
        <v>970</v>
      </c>
      <c r="K186" s="490" t="s">
        <v>2001</v>
      </c>
      <c r="L186" s="422">
        <v>54.219000000000001</v>
      </c>
      <c r="M186" s="423">
        <v>0</v>
      </c>
      <c r="N186" s="444">
        <v>41091</v>
      </c>
      <c r="O186" s="497">
        <f>L186*0.5</f>
        <v>27.109500000000001</v>
      </c>
      <c r="P186" s="513" t="s">
        <v>728</v>
      </c>
      <c r="Q186" s="422"/>
      <c r="R186" s="425"/>
      <c r="S186" s="425"/>
      <c r="T186" s="881"/>
      <c r="U186" s="444"/>
      <c r="V186" s="425"/>
      <c r="W186" s="419"/>
      <c r="X186" s="543"/>
      <c r="Y186" s="445" t="s">
        <v>1084</v>
      </c>
      <c r="Z186" s="445" t="s">
        <v>3107</v>
      </c>
      <c r="AA186" s="431">
        <v>41060</v>
      </c>
      <c r="AB186" s="431"/>
      <c r="AC186" s="431">
        <v>41190</v>
      </c>
      <c r="AD186" s="431">
        <v>41198</v>
      </c>
      <c r="AE186" s="431"/>
      <c r="AF186" s="431"/>
      <c r="AG186" s="420"/>
      <c r="AH186" s="420">
        <v>39.1</v>
      </c>
      <c r="AI186" s="422">
        <f>82666.8/AH186</f>
        <v>2114.2404092071611</v>
      </c>
      <c r="AJ186" s="420"/>
      <c r="AK186" s="420"/>
      <c r="AL186" s="420"/>
      <c r="AM186" s="420"/>
      <c r="AN186" s="420"/>
      <c r="AO186" s="532"/>
      <c r="AP186" s="463"/>
      <c r="AQ186" s="466"/>
    </row>
    <row r="187" spans="1:48" s="474" customFormat="1" ht="12.75" customHeight="1">
      <c r="A187" s="51" t="s">
        <v>1332</v>
      </c>
      <c r="B187" s="63">
        <v>28</v>
      </c>
      <c r="C187" s="51" t="s">
        <v>557</v>
      </c>
      <c r="D187" s="54" t="s">
        <v>879</v>
      </c>
      <c r="E187" s="51"/>
      <c r="F187" s="54">
        <v>2</v>
      </c>
      <c r="G187" s="54"/>
      <c r="H187" s="61" t="s">
        <v>1712</v>
      </c>
      <c r="I187" s="68" t="s">
        <v>1548</v>
      </c>
      <c r="J187" s="54"/>
      <c r="K187" s="61" t="s">
        <v>1381</v>
      </c>
      <c r="L187" s="888">
        <v>29.506</v>
      </c>
      <c r="M187" s="92"/>
      <c r="N187" s="122">
        <v>39448</v>
      </c>
      <c r="O187" s="942">
        <v>147.529</v>
      </c>
      <c r="P187" s="51" t="s">
        <v>1731</v>
      </c>
      <c r="Q187" s="888"/>
      <c r="R187" s="51"/>
      <c r="S187" s="51"/>
      <c r="T187" s="891"/>
      <c r="U187" s="122"/>
      <c r="V187" s="361"/>
      <c r="W187" s="382"/>
      <c r="X187" s="870"/>
      <c r="Y187" s="51" t="s">
        <v>39</v>
      </c>
      <c r="Z187" s="51" t="s">
        <v>1338</v>
      </c>
      <c r="AA187" s="864">
        <v>39105</v>
      </c>
      <c r="AB187" s="864"/>
      <c r="AC187" s="864"/>
      <c r="AD187" s="864"/>
      <c r="AE187" s="864"/>
      <c r="AF187" s="864"/>
      <c r="AG187" s="198"/>
      <c r="AH187" s="198">
        <v>2.44</v>
      </c>
      <c r="AI187" s="888"/>
      <c r="AJ187" s="198"/>
      <c r="AK187" s="198"/>
      <c r="AL187" s="198"/>
      <c r="AM187" s="198"/>
      <c r="AN187" s="198"/>
      <c r="AO187" s="51"/>
      <c r="AP187" s="463"/>
      <c r="AQ187" s="782"/>
    </row>
    <row r="188" spans="1:48" s="474" customFormat="1" ht="12.75" customHeight="1">
      <c r="A188" s="467" t="s">
        <v>3293</v>
      </c>
      <c r="B188" s="468">
        <v>325</v>
      </c>
      <c r="C188" s="467" t="s">
        <v>3240</v>
      </c>
      <c r="D188" s="463" t="s">
        <v>879</v>
      </c>
      <c r="E188" s="466" t="s">
        <v>333</v>
      </c>
      <c r="F188" s="463">
        <v>2</v>
      </c>
      <c r="G188" s="463"/>
      <c r="H188" s="748" t="s">
        <v>1712</v>
      </c>
      <c r="I188" s="510" t="s">
        <v>981</v>
      </c>
      <c r="J188" s="463" t="s">
        <v>1173</v>
      </c>
      <c r="K188" s="748" t="s">
        <v>3241</v>
      </c>
      <c r="L188" s="469">
        <v>97.5</v>
      </c>
      <c r="M188" s="469">
        <v>0</v>
      </c>
      <c r="N188" s="470">
        <v>41017</v>
      </c>
      <c r="O188" s="732">
        <f>L188*0.704</f>
        <v>68.64</v>
      </c>
      <c r="P188" s="516" t="s">
        <v>728</v>
      </c>
      <c r="Q188" s="783"/>
      <c r="R188" s="476"/>
      <c r="S188" s="476"/>
      <c r="T188" s="933"/>
      <c r="U188" s="470"/>
      <c r="V188" s="476"/>
      <c r="W188" s="486"/>
      <c r="X188" s="898"/>
      <c r="Y188" s="466" t="s">
        <v>1084</v>
      </c>
      <c r="Z188" s="466" t="s">
        <v>1171</v>
      </c>
      <c r="AA188" s="521">
        <v>41146</v>
      </c>
      <c r="AB188" s="521"/>
      <c r="AC188" s="521"/>
      <c r="AD188" s="521"/>
      <c r="AE188" s="521"/>
      <c r="AF188" s="521"/>
      <c r="AG188" s="463"/>
      <c r="AH188" s="463">
        <v>0</v>
      </c>
      <c r="AI188" s="783"/>
      <c r="AJ188" s="753"/>
      <c r="AK188" s="463"/>
      <c r="AL188" s="463"/>
      <c r="AM188" s="463"/>
      <c r="AN188" s="463"/>
      <c r="AO188" s="731"/>
      <c r="AP188" s="463"/>
      <c r="AQ188" s="466"/>
    </row>
    <row r="189" spans="1:48" s="474" customFormat="1" ht="12.75" customHeight="1">
      <c r="A189" s="51" t="s">
        <v>363</v>
      </c>
      <c r="B189" s="489">
        <v>200</v>
      </c>
      <c r="C189" s="419" t="s">
        <v>365</v>
      </c>
      <c r="D189" s="802" t="s">
        <v>366</v>
      </c>
      <c r="E189" s="419" t="s">
        <v>367</v>
      </c>
      <c r="F189" s="420">
        <v>2</v>
      </c>
      <c r="G189" s="420"/>
      <c r="H189" s="393" t="s">
        <v>968</v>
      </c>
      <c r="I189" s="471" t="s">
        <v>970</v>
      </c>
      <c r="J189" s="420" t="s">
        <v>970</v>
      </c>
      <c r="K189" s="490" t="s">
        <v>2001</v>
      </c>
      <c r="L189" s="422">
        <v>19.855</v>
      </c>
      <c r="M189" s="423">
        <v>0</v>
      </c>
      <c r="N189" s="444">
        <v>40452</v>
      </c>
      <c r="O189" s="424">
        <f>+L189*2.25</f>
        <v>44.673749999999998</v>
      </c>
      <c r="P189" s="419" t="s">
        <v>728</v>
      </c>
      <c r="Q189" s="422">
        <f>17.978+13.876</f>
        <v>31.853999999999999</v>
      </c>
      <c r="R189" s="425"/>
      <c r="S189" s="425"/>
      <c r="T189" s="881">
        <v>41022</v>
      </c>
      <c r="U189" s="444">
        <v>41213</v>
      </c>
      <c r="V189" s="425">
        <v>41.396315068493152</v>
      </c>
      <c r="W189" s="400">
        <f t="shared" ref="W189:W197" si="12">Q189/V189</f>
        <v>0.76948878051815206</v>
      </c>
      <c r="X189" s="545" t="s">
        <v>728</v>
      </c>
      <c r="Y189" s="419" t="s">
        <v>3047</v>
      </c>
      <c r="Z189" s="419" t="s">
        <v>369</v>
      </c>
      <c r="AA189" s="805">
        <v>40129</v>
      </c>
      <c r="AB189" s="430"/>
      <c r="AC189" s="431"/>
      <c r="AD189" s="431">
        <v>40386</v>
      </c>
      <c r="AE189" s="431"/>
      <c r="AF189" s="431"/>
      <c r="AG189" s="432"/>
      <c r="AH189" s="432">
        <v>10</v>
      </c>
      <c r="AI189" s="422">
        <f>31700/AH189</f>
        <v>3170</v>
      </c>
      <c r="AJ189" s="432" t="s">
        <v>370</v>
      </c>
      <c r="AK189" s="432"/>
      <c r="AL189" s="432"/>
      <c r="AM189" s="432"/>
      <c r="AN189" s="432"/>
      <c r="AO189" s="419"/>
      <c r="AP189" s="514"/>
      <c r="AQ189" s="782"/>
    </row>
    <row r="190" spans="1:48" s="474" customFormat="1" ht="24.75" customHeight="1">
      <c r="A190" s="51" t="s">
        <v>419</v>
      </c>
      <c r="B190" s="59" t="s">
        <v>523</v>
      </c>
      <c r="C190" s="405" t="s">
        <v>423</v>
      </c>
      <c r="D190" s="392" t="s">
        <v>1063</v>
      </c>
      <c r="E190" s="391" t="s">
        <v>79</v>
      </c>
      <c r="F190" s="392">
        <v>1</v>
      </c>
      <c r="G190" s="392"/>
      <c r="H190" s="393" t="s">
        <v>968</v>
      </c>
      <c r="I190" s="394" t="s">
        <v>970</v>
      </c>
      <c r="J190" s="392" t="s">
        <v>970</v>
      </c>
      <c r="K190" s="393" t="s">
        <v>1084</v>
      </c>
      <c r="L190" s="395">
        <f t="shared" ref="L190:L197" si="13">O190/5</f>
        <v>134.54059999999998</v>
      </c>
      <c r="M190" s="396">
        <v>0</v>
      </c>
      <c r="N190" s="397">
        <v>39448</v>
      </c>
      <c r="O190" s="398">
        <v>672.70299999999997</v>
      </c>
      <c r="P190" s="391" t="s">
        <v>1731</v>
      </c>
      <c r="Q190" s="395">
        <f>120+120+120+120+120</f>
        <v>600</v>
      </c>
      <c r="R190" s="399"/>
      <c r="S190" s="399"/>
      <c r="T190" s="879">
        <v>39876</v>
      </c>
      <c r="U190" s="397">
        <v>41274</v>
      </c>
      <c r="V190" s="399">
        <v>673.07160438356152</v>
      </c>
      <c r="W190" s="400">
        <f t="shared" si="12"/>
        <v>0.89143561560514084</v>
      </c>
      <c r="X190" s="404" t="s">
        <v>1486</v>
      </c>
      <c r="Y190" s="391" t="s">
        <v>425</v>
      </c>
      <c r="Z190" s="391" t="s">
        <v>78</v>
      </c>
      <c r="AA190" s="401">
        <v>39615</v>
      </c>
      <c r="AB190" s="402"/>
      <c r="AC190" s="401"/>
      <c r="AD190" s="401"/>
      <c r="AE190" s="401">
        <v>39316</v>
      </c>
      <c r="AF190" s="401"/>
      <c r="AG190" s="390"/>
      <c r="AH190" s="390">
        <f>55*1.65</f>
        <v>90.75</v>
      </c>
      <c r="AI190" s="395">
        <f>325000/AH190</f>
        <v>3581.2672176308538</v>
      </c>
      <c r="AJ190" s="390"/>
      <c r="AK190" s="390"/>
      <c r="AL190" s="390"/>
      <c r="AM190" s="390"/>
      <c r="AN190" s="390"/>
      <c r="AO190" s="391" t="s">
        <v>901</v>
      </c>
      <c r="AP190" s="463"/>
      <c r="AQ190" s="51"/>
    </row>
    <row r="191" spans="1:48" s="474" customFormat="1" ht="12.75" customHeight="1">
      <c r="A191" s="51" t="s">
        <v>420</v>
      </c>
      <c r="B191" s="59" t="s">
        <v>524</v>
      </c>
      <c r="C191" s="405" t="s">
        <v>283</v>
      </c>
      <c r="D191" s="392" t="s">
        <v>1063</v>
      </c>
      <c r="E191" s="391" t="s">
        <v>285</v>
      </c>
      <c r="F191" s="392">
        <v>1</v>
      </c>
      <c r="G191" s="392"/>
      <c r="H191" s="404" t="s">
        <v>968</v>
      </c>
      <c r="I191" s="394" t="s">
        <v>970</v>
      </c>
      <c r="J191" s="392" t="s">
        <v>970</v>
      </c>
      <c r="K191" s="393" t="s">
        <v>1084</v>
      </c>
      <c r="L191" s="395">
        <f t="shared" si="13"/>
        <v>144.375</v>
      </c>
      <c r="M191" s="396">
        <v>0</v>
      </c>
      <c r="N191" s="397">
        <v>39448</v>
      </c>
      <c r="O191" s="398">
        <v>721.875</v>
      </c>
      <c r="P191" s="391" t="s">
        <v>1731</v>
      </c>
      <c r="Q191" s="395">
        <f>94.579+95.075+101.44+95.652+102.22</f>
        <v>488.96600000000001</v>
      </c>
      <c r="R191" s="399"/>
      <c r="S191" s="399"/>
      <c r="T191" s="879">
        <v>39897</v>
      </c>
      <c r="U191" s="397">
        <v>41274</v>
      </c>
      <c r="V191" s="399">
        <v>722.27054794520552</v>
      </c>
      <c r="W191" s="400">
        <f t="shared" si="12"/>
        <v>0.67698454739856706</v>
      </c>
      <c r="X191" s="545" t="s">
        <v>1731</v>
      </c>
      <c r="Y191" s="391" t="s">
        <v>284</v>
      </c>
      <c r="Z191" s="391" t="s">
        <v>78</v>
      </c>
      <c r="AA191" s="401">
        <v>39615</v>
      </c>
      <c r="AB191" s="402"/>
      <c r="AC191" s="401"/>
      <c r="AD191" s="401"/>
      <c r="AE191" s="401">
        <v>39316</v>
      </c>
      <c r="AF191" s="401"/>
      <c r="AG191" s="390"/>
      <c r="AH191" s="390">
        <f>29*2</f>
        <v>58</v>
      </c>
      <c r="AI191" s="395">
        <f>231000/AH191</f>
        <v>3982.7586206896553</v>
      </c>
      <c r="AJ191" s="390"/>
      <c r="AK191" s="390"/>
      <c r="AL191" s="390"/>
      <c r="AM191" s="390"/>
      <c r="AN191" s="390"/>
      <c r="AO191" s="391">
        <v>47</v>
      </c>
      <c r="AP191" s="463"/>
      <c r="AQ191" s="64"/>
    </row>
    <row r="192" spans="1:48" s="474" customFormat="1" ht="25.5" customHeight="1">
      <c r="A192" s="51" t="s">
        <v>1538</v>
      </c>
      <c r="B192" s="59" t="s">
        <v>525</v>
      </c>
      <c r="C192" s="405" t="s">
        <v>1534</v>
      </c>
      <c r="D192" s="392" t="s">
        <v>1063</v>
      </c>
      <c r="E192" s="391" t="s">
        <v>79</v>
      </c>
      <c r="F192" s="392">
        <v>1</v>
      </c>
      <c r="G192" s="392"/>
      <c r="H192" s="393" t="s">
        <v>968</v>
      </c>
      <c r="I192" s="394" t="s">
        <v>970</v>
      </c>
      <c r="J192" s="984" t="s">
        <v>970</v>
      </c>
      <c r="K192" s="393" t="s">
        <v>1084</v>
      </c>
      <c r="L192" s="395">
        <f t="shared" si="13"/>
        <v>45.6</v>
      </c>
      <c r="M192" s="396">
        <v>0</v>
      </c>
      <c r="N192" s="397">
        <v>39448</v>
      </c>
      <c r="O192" s="398">
        <v>228</v>
      </c>
      <c r="P192" s="391" t="s">
        <v>1084</v>
      </c>
      <c r="Q192" s="395">
        <f>45.911+47.818+45.315+43.944+45.012</f>
        <v>228</v>
      </c>
      <c r="R192" s="399"/>
      <c r="S192" s="399"/>
      <c r="T192" s="879">
        <v>39882</v>
      </c>
      <c r="U192" s="397">
        <v>41274</v>
      </c>
      <c r="V192" s="399">
        <v>228.12493150684932</v>
      </c>
      <c r="W192" s="400">
        <f t="shared" si="12"/>
        <v>0.9994523548740416</v>
      </c>
      <c r="X192" s="545" t="s">
        <v>1731</v>
      </c>
      <c r="Y192" s="391" t="s">
        <v>1536</v>
      </c>
      <c r="Z192" s="391" t="s">
        <v>1537</v>
      </c>
      <c r="AA192" s="402">
        <v>39630</v>
      </c>
      <c r="AB192" s="402"/>
      <c r="AC192" s="401">
        <v>39612</v>
      </c>
      <c r="AD192" s="401"/>
      <c r="AE192" s="401">
        <v>39506</v>
      </c>
      <c r="AF192" s="401"/>
      <c r="AG192" s="390"/>
      <c r="AH192" s="390">
        <f>55*0.66</f>
        <v>36.300000000000004</v>
      </c>
      <c r="AI192" s="395">
        <f>3875</f>
        <v>3875</v>
      </c>
      <c r="AJ192" s="390"/>
      <c r="AK192" s="390"/>
      <c r="AL192" s="390"/>
      <c r="AM192" s="390"/>
      <c r="AN192" s="390"/>
      <c r="AO192" s="391" t="s">
        <v>1535</v>
      </c>
      <c r="AP192" s="463"/>
      <c r="AQ192" s="64"/>
    </row>
    <row r="193" spans="1:48" s="474" customFormat="1" ht="25.5" customHeight="1">
      <c r="A193" s="51" t="s">
        <v>760</v>
      </c>
      <c r="B193" s="59" t="s">
        <v>526</v>
      </c>
      <c r="C193" s="405" t="s">
        <v>755</v>
      </c>
      <c r="D193" s="392" t="s">
        <v>1063</v>
      </c>
      <c r="E193" s="391" t="s">
        <v>79</v>
      </c>
      <c r="F193" s="392">
        <v>1</v>
      </c>
      <c r="G193" s="392"/>
      <c r="H193" s="393" t="s">
        <v>968</v>
      </c>
      <c r="I193" s="394" t="s">
        <v>970</v>
      </c>
      <c r="J193" s="984" t="s">
        <v>970</v>
      </c>
      <c r="K193" s="393" t="s">
        <v>1084</v>
      </c>
      <c r="L193" s="395">
        <f t="shared" si="13"/>
        <v>194.25</v>
      </c>
      <c r="M193" s="396">
        <v>0</v>
      </c>
      <c r="N193" s="397">
        <v>39448</v>
      </c>
      <c r="O193" s="398">
        <v>971.25</v>
      </c>
      <c r="P193" s="391" t="s">
        <v>1084</v>
      </c>
      <c r="Q193" s="395">
        <f>155.195+174.462+163.758+172.032</f>
        <v>665.447</v>
      </c>
      <c r="R193" s="399"/>
      <c r="S193" s="399"/>
      <c r="T193" s="879">
        <v>39876</v>
      </c>
      <c r="U193" s="397">
        <v>41274</v>
      </c>
      <c r="V193" s="399">
        <v>971.7821917808219</v>
      </c>
      <c r="W193" s="400">
        <f t="shared" si="12"/>
        <v>0.68476970007090487</v>
      </c>
      <c r="X193" s="545" t="s">
        <v>1731</v>
      </c>
      <c r="Y193" s="391" t="s">
        <v>756</v>
      </c>
      <c r="Z193" s="391" t="s">
        <v>1537</v>
      </c>
      <c r="AA193" s="402">
        <v>39643</v>
      </c>
      <c r="AB193" s="402"/>
      <c r="AC193" s="401">
        <v>39609</v>
      </c>
      <c r="AD193" s="401"/>
      <c r="AE193" s="401">
        <v>39560</v>
      </c>
      <c r="AF193" s="401"/>
      <c r="AG193" s="390"/>
      <c r="AH193" s="390">
        <v>120</v>
      </c>
      <c r="AI193" s="395">
        <f>410000/AH193</f>
        <v>3416.6666666666665</v>
      </c>
      <c r="AJ193" s="390"/>
      <c r="AK193" s="390"/>
      <c r="AL193" s="390"/>
      <c r="AM193" s="390"/>
      <c r="AN193" s="390"/>
      <c r="AO193" s="391" t="s">
        <v>757</v>
      </c>
      <c r="AP193" s="463"/>
      <c r="AQ193" s="51"/>
    </row>
    <row r="194" spans="1:48" s="474" customFormat="1" ht="27" customHeight="1">
      <c r="A194" s="51" t="s">
        <v>763</v>
      </c>
      <c r="B194" s="59" t="s">
        <v>527</v>
      </c>
      <c r="C194" s="452" t="s">
        <v>2092</v>
      </c>
      <c r="D194" s="392" t="s">
        <v>1063</v>
      </c>
      <c r="E194" s="391" t="s">
        <v>79</v>
      </c>
      <c r="F194" s="392">
        <v>1</v>
      </c>
      <c r="G194" s="392"/>
      <c r="H194" s="393" t="s">
        <v>968</v>
      </c>
      <c r="I194" s="394" t="s">
        <v>1489</v>
      </c>
      <c r="J194" s="392" t="s">
        <v>1709</v>
      </c>
      <c r="K194" s="393" t="s">
        <v>1084</v>
      </c>
      <c r="L194" s="395">
        <f t="shared" si="13"/>
        <v>29.801200000000001</v>
      </c>
      <c r="M194" s="396">
        <v>0</v>
      </c>
      <c r="N194" s="397">
        <v>39448</v>
      </c>
      <c r="O194" s="398">
        <v>149.006</v>
      </c>
      <c r="P194" s="391" t="s">
        <v>1731</v>
      </c>
      <c r="Q194" s="395">
        <f>32.5435+26.936+19.462+17.43+12.558</f>
        <v>108.92949999999999</v>
      </c>
      <c r="R194" s="399"/>
      <c r="S194" s="399"/>
      <c r="T194" s="879">
        <v>39904</v>
      </c>
      <c r="U194" s="397">
        <v>41274</v>
      </c>
      <c r="V194" s="399">
        <v>149.0876471232877</v>
      </c>
      <c r="W194" s="400">
        <f t="shared" si="12"/>
        <v>0.73064068084675715</v>
      </c>
      <c r="X194" s="545" t="s">
        <v>1731</v>
      </c>
      <c r="Y194" s="391" t="s">
        <v>416</v>
      </c>
      <c r="Z194" s="391" t="s">
        <v>76</v>
      </c>
      <c r="AA194" s="402">
        <v>39653</v>
      </c>
      <c r="AB194" s="402"/>
      <c r="AC194" s="401"/>
      <c r="AD194" s="401"/>
      <c r="AE194" s="401">
        <v>39633</v>
      </c>
      <c r="AF194" s="401"/>
      <c r="AG194" s="390"/>
      <c r="AH194" s="390">
        <v>1</v>
      </c>
      <c r="AI194" s="395"/>
      <c r="AJ194" s="390"/>
      <c r="AK194" s="390"/>
      <c r="AL194" s="390"/>
      <c r="AM194" s="390"/>
      <c r="AN194" s="390"/>
      <c r="AO194" s="391" t="s">
        <v>902</v>
      </c>
      <c r="AP194" s="463"/>
      <c r="AQ194" s="51"/>
    </row>
    <row r="195" spans="1:48" s="474" customFormat="1" ht="12.75" customHeight="1">
      <c r="A195" s="51" t="s">
        <v>1368</v>
      </c>
      <c r="B195" s="63" t="s">
        <v>1370</v>
      </c>
      <c r="C195" s="405" t="s">
        <v>1372</v>
      </c>
      <c r="D195" s="392" t="s">
        <v>1063</v>
      </c>
      <c r="E195" s="391" t="s">
        <v>355</v>
      </c>
      <c r="F195" s="392">
        <v>1</v>
      </c>
      <c r="G195" s="392"/>
      <c r="H195" s="393" t="s">
        <v>968</v>
      </c>
      <c r="I195" s="394" t="s">
        <v>1489</v>
      </c>
      <c r="J195" s="392" t="s">
        <v>1709</v>
      </c>
      <c r="K195" s="393" t="s">
        <v>1375</v>
      </c>
      <c r="L195" s="395">
        <f t="shared" si="13"/>
        <v>40</v>
      </c>
      <c r="M195" s="396">
        <v>0</v>
      </c>
      <c r="N195" s="397">
        <v>39448</v>
      </c>
      <c r="O195" s="398">
        <v>200</v>
      </c>
      <c r="P195" s="391" t="s">
        <v>1731</v>
      </c>
      <c r="Q195" s="395">
        <f>48.338+50.051+46.917+38.89+15.805</f>
        <v>200.00100000000003</v>
      </c>
      <c r="R195" s="399"/>
      <c r="S195" s="399"/>
      <c r="T195" s="879">
        <v>39926</v>
      </c>
      <c r="U195" s="397">
        <v>41274</v>
      </c>
      <c r="V195" s="399">
        <v>200.10958904109589</v>
      </c>
      <c r="W195" s="400">
        <f t="shared" si="12"/>
        <v>0.99945735213581621</v>
      </c>
      <c r="X195" s="545" t="s">
        <v>1084</v>
      </c>
      <c r="Y195" s="391" t="s">
        <v>1373</v>
      </c>
      <c r="Z195" s="391" t="s">
        <v>76</v>
      </c>
      <c r="AA195" s="402">
        <v>39853</v>
      </c>
      <c r="AB195" s="402"/>
      <c r="AC195" s="401"/>
      <c r="AD195" s="401"/>
      <c r="AE195" s="401">
        <v>39633</v>
      </c>
      <c r="AF195" s="401"/>
      <c r="AG195" s="390"/>
      <c r="AH195" s="390">
        <v>0</v>
      </c>
      <c r="AI195" s="395"/>
      <c r="AJ195" s="395"/>
      <c r="AK195" s="395"/>
      <c r="AL195" s="395"/>
      <c r="AM195" s="390"/>
      <c r="AN195" s="395"/>
      <c r="AO195" s="391" t="s">
        <v>1374</v>
      </c>
      <c r="AP195" s="463"/>
      <c r="AQ195" s="51"/>
    </row>
    <row r="196" spans="1:48" s="474" customFormat="1" ht="12.75" customHeight="1">
      <c r="A196" s="467" t="s">
        <v>2548</v>
      </c>
      <c r="B196" s="59" t="s">
        <v>2557</v>
      </c>
      <c r="C196" s="445" t="s">
        <v>2575</v>
      </c>
      <c r="D196" s="449" t="s">
        <v>1063</v>
      </c>
      <c r="E196" s="445" t="s">
        <v>2559</v>
      </c>
      <c r="F196" s="420">
        <v>1</v>
      </c>
      <c r="G196" s="420"/>
      <c r="H196" s="421" t="s">
        <v>968</v>
      </c>
      <c r="I196" s="729" t="s">
        <v>972</v>
      </c>
      <c r="J196" s="420" t="s">
        <v>2560</v>
      </c>
      <c r="K196" s="450" t="s">
        <v>1084</v>
      </c>
      <c r="L196" s="432">
        <f t="shared" si="13"/>
        <v>158.18459999999999</v>
      </c>
      <c r="M196" s="423">
        <v>0</v>
      </c>
      <c r="N196" s="444">
        <v>40179</v>
      </c>
      <c r="O196" s="424">
        <f>790.923</f>
        <v>790.923</v>
      </c>
      <c r="P196" s="445" t="s">
        <v>1084</v>
      </c>
      <c r="Q196" s="422">
        <f>409.991+380.932+0</f>
        <v>790.923</v>
      </c>
      <c r="R196" s="425"/>
      <c r="S196" s="425"/>
      <c r="T196" s="881">
        <v>40623</v>
      </c>
      <c r="U196" s="397">
        <v>41274</v>
      </c>
      <c r="V196" s="425">
        <v>474.55379999999997</v>
      </c>
      <c r="W196" s="400">
        <f t="shared" si="12"/>
        <v>1.6666666666666667</v>
      </c>
      <c r="X196" s="543" t="s">
        <v>1731</v>
      </c>
      <c r="Y196" s="445" t="s">
        <v>1084</v>
      </c>
      <c r="Z196" s="445" t="s">
        <v>1084</v>
      </c>
      <c r="AA196" s="431">
        <v>40735</v>
      </c>
      <c r="AB196" s="431"/>
      <c r="AC196" s="431"/>
      <c r="AD196" s="431"/>
      <c r="AE196" s="431"/>
      <c r="AF196" s="431"/>
      <c r="AG196" s="420"/>
      <c r="AH196" s="420"/>
      <c r="AI196" s="420"/>
      <c r="AJ196" s="420"/>
      <c r="AK196" s="420"/>
      <c r="AL196" s="420"/>
      <c r="AM196" s="420"/>
      <c r="AN196" s="420"/>
      <c r="AO196" s="419"/>
      <c r="AP196" s="463"/>
      <c r="AQ196" s="466"/>
      <c r="AR196" s="820"/>
      <c r="AS196" s="820"/>
      <c r="AT196" s="820"/>
      <c r="AU196" s="820"/>
      <c r="AV196" s="464"/>
    </row>
    <row r="197" spans="1:48" s="474" customFormat="1" ht="12.75" customHeight="1">
      <c r="A197" s="467" t="s">
        <v>2719</v>
      </c>
      <c r="B197" s="468" t="s">
        <v>2884</v>
      </c>
      <c r="C197" s="445" t="s">
        <v>2718</v>
      </c>
      <c r="D197" s="449" t="s">
        <v>1063</v>
      </c>
      <c r="E197" s="445" t="s">
        <v>2786</v>
      </c>
      <c r="F197" s="420">
        <v>1</v>
      </c>
      <c r="G197" s="420"/>
      <c r="H197" s="421" t="s">
        <v>968</v>
      </c>
      <c r="I197" s="448" t="s">
        <v>1488</v>
      </c>
      <c r="J197" s="420" t="s">
        <v>1709</v>
      </c>
      <c r="K197" s="844"/>
      <c r="L197" s="432">
        <f t="shared" si="13"/>
        <v>5.4880000000000004</v>
      </c>
      <c r="M197" s="423">
        <v>0</v>
      </c>
      <c r="N197" s="444">
        <v>40179</v>
      </c>
      <c r="O197" s="424">
        <v>27.44</v>
      </c>
      <c r="P197" s="445" t="s">
        <v>1084</v>
      </c>
      <c r="Q197" s="422">
        <f>3.941+3.966+3.823</f>
        <v>11.73</v>
      </c>
      <c r="R197" s="425"/>
      <c r="S197" s="425"/>
      <c r="T197" s="881">
        <v>40570</v>
      </c>
      <c r="U197" s="397">
        <v>41274</v>
      </c>
      <c r="V197" s="425">
        <v>16.464000000000002</v>
      </c>
      <c r="W197" s="400">
        <f t="shared" si="12"/>
        <v>0.71246355685131191</v>
      </c>
      <c r="X197" s="544" t="s">
        <v>1084</v>
      </c>
      <c r="Y197" s="445" t="s">
        <v>2261</v>
      </c>
      <c r="Z197" s="445" t="s">
        <v>2785</v>
      </c>
      <c r="AA197" s="431">
        <v>40855</v>
      </c>
      <c r="AB197" s="431"/>
      <c r="AC197" s="431"/>
      <c r="AD197" s="431"/>
      <c r="AE197" s="431"/>
      <c r="AF197" s="431"/>
      <c r="AG197" s="420"/>
      <c r="AH197" s="432">
        <v>0</v>
      </c>
      <c r="AI197" s="420"/>
      <c r="AJ197" s="432"/>
      <c r="AK197" s="432"/>
      <c r="AL197" s="420"/>
      <c r="AM197" s="420"/>
      <c r="AN197" s="420"/>
      <c r="AO197" s="532" t="s">
        <v>2787</v>
      </c>
      <c r="AP197" s="463"/>
      <c r="AQ197" s="466"/>
      <c r="AR197" s="63"/>
      <c r="AS197" s="63"/>
      <c r="AT197" s="63"/>
      <c r="AU197" s="63"/>
    </row>
    <row r="198" spans="1:48" s="474" customFormat="1" ht="12.75" customHeight="1">
      <c r="A198" s="51" t="s">
        <v>668</v>
      </c>
      <c r="B198" s="59">
        <v>98</v>
      </c>
      <c r="C198" s="207" t="s">
        <v>673</v>
      </c>
      <c r="D198" s="323" t="s">
        <v>847</v>
      </c>
      <c r="E198" s="124"/>
      <c r="F198" s="323">
        <v>2</v>
      </c>
      <c r="G198" s="323"/>
      <c r="H198" s="324" t="s">
        <v>1593</v>
      </c>
      <c r="I198" s="325" t="s">
        <v>845</v>
      </c>
      <c r="J198" s="323"/>
      <c r="K198" s="324" t="s">
        <v>842</v>
      </c>
      <c r="L198" s="940">
        <v>53.993000000000002</v>
      </c>
      <c r="M198" s="327"/>
      <c r="N198" s="326">
        <v>39448</v>
      </c>
      <c r="O198" s="1018">
        <f>5*L198</f>
        <v>269.96500000000003</v>
      </c>
      <c r="P198" s="124" t="s">
        <v>1731</v>
      </c>
      <c r="Q198" s="940"/>
      <c r="R198" s="124"/>
      <c r="S198" s="124"/>
      <c r="T198" s="892"/>
      <c r="U198" s="326"/>
      <c r="V198" s="376"/>
      <c r="W198" s="381"/>
      <c r="X198" s="871"/>
      <c r="Y198" s="124" t="s">
        <v>674</v>
      </c>
      <c r="Z198" s="124" t="s">
        <v>675</v>
      </c>
      <c r="AA198" s="1020">
        <v>39412</v>
      </c>
      <c r="AB198" s="1020"/>
      <c r="AC198" s="872"/>
      <c r="AD198" s="872"/>
      <c r="AE198" s="872"/>
      <c r="AF198" s="324" t="s">
        <v>1593</v>
      </c>
      <c r="AG198" s="1016"/>
      <c r="AH198" s="1016"/>
      <c r="AI198" s="940"/>
      <c r="AJ198" s="1016"/>
      <c r="AK198" s="1016"/>
      <c r="AL198" s="1016"/>
      <c r="AM198" s="1016"/>
      <c r="AN198" s="1016"/>
      <c r="AO198" s="124"/>
      <c r="AP198" s="463"/>
      <c r="AQ198" s="64"/>
      <c r="AR198" s="489"/>
      <c r="AS198" s="489"/>
      <c r="AT198" s="489"/>
      <c r="AU198" s="489"/>
      <c r="AV198" s="489"/>
    </row>
    <row r="199" spans="1:48" s="474" customFormat="1" ht="12.75" customHeight="1">
      <c r="A199" s="51" t="s">
        <v>218</v>
      </c>
      <c r="B199" s="59" t="s">
        <v>80</v>
      </c>
      <c r="C199" s="452" t="s">
        <v>2924</v>
      </c>
      <c r="D199" s="392" t="s">
        <v>847</v>
      </c>
      <c r="E199" s="391" t="s">
        <v>81</v>
      </c>
      <c r="F199" s="392">
        <v>1</v>
      </c>
      <c r="G199" s="445" t="s">
        <v>2922</v>
      </c>
      <c r="H199" s="393" t="s">
        <v>968</v>
      </c>
      <c r="I199" s="394" t="s">
        <v>981</v>
      </c>
      <c r="J199" s="392" t="s">
        <v>1173</v>
      </c>
      <c r="K199" s="393" t="s">
        <v>4</v>
      </c>
      <c r="L199" s="395">
        <f>O199/4.5</f>
        <v>688.43888888888887</v>
      </c>
      <c r="M199" s="396">
        <v>0</v>
      </c>
      <c r="N199" s="397">
        <v>39630</v>
      </c>
      <c r="O199" s="908">
        <v>3097.9749999999999</v>
      </c>
      <c r="P199" s="391" t="s">
        <v>1486</v>
      </c>
      <c r="Q199" s="395">
        <v>2674.3560000000002</v>
      </c>
      <c r="R199" s="399"/>
      <c r="S199" s="399"/>
      <c r="T199" s="879"/>
      <c r="U199" s="397">
        <v>41274</v>
      </c>
      <c r="V199" s="399">
        <v>3100.8042009132419</v>
      </c>
      <c r="W199" s="400">
        <f>Q199/V199</f>
        <v>0.86247174175407626</v>
      </c>
      <c r="X199" s="967" t="s">
        <v>1084</v>
      </c>
      <c r="Y199" s="391" t="s">
        <v>83</v>
      </c>
      <c r="Z199" s="391" t="s">
        <v>82</v>
      </c>
      <c r="AA199" s="402">
        <v>40046</v>
      </c>
      <c r="AB199" s="402"/>
      <c r="AC199" s="401">
        <v>41271</v>
      </c>
      <c r="AD199" s="401">
        <v>39549</v>
      </c>
      <c r="AE199" s="401"/>
      <c r="AF199" s="401"/>
      <c r="AG199" s="390"/>
      <c r="AH199" s="390">
        <v>0</v>
      </c>
      <c r="AI199" s="395"/>
      <c r="AJ199" s="390"/>
      <c r="AK199" s="390"/>
      <c r="AL199" s="390"/>
      <c r="AM199" s="390"/>
      <c r="AN199" s="390"/>
      <c r="AO199" s="391" t="s">
        <v>447</v>
      </c>
      <c r="AP199" s="514"/>
      <c r="AQ199" s="51"/>
    </row>
    <row r="200" spans="1:48" s="474" customFormat="1" ht="12.75" customHeight="1">
      <c r="A200" s="51" t="s">
        <v>219</v>
      </c>
      <c r="B200" s="59" t="s">
        <v>436</v>
      </c>
      <c r="C200" s="452" t="s">
        <v>2923</v>
      </c>
      <c r="D200" s="392" t="s">
        <v>847</v>
      </c>
      <c r="E200" s="391" t="s">
        <v>81</v>
      </c>
      <c r="F200" s="392">
        <v>1</v>
      </c>
      <c r="G200" s="449" t="s">
        <v>2921</v>
      </c>
      <c r="H200" s="393" t="s">
        <v>968</v>
      </c>
      <c r="I200" s="394" t="s">
        <v>981</v>
      </c>
      <c r="J200" s="392" t="s">
        <v>1173</v>
      </c>
      <c r="K200" s="393" t="s">
        <v>443</v>
      </c>
      <c r="L200" s="395">
        <f>O200/5</f>
        <v>707.56819999999993</v>
      </c>
      <c r="M200" s="396">
        <v>0</v>
      </c>
      <c r="N200" s="397">
        <v>39448</v>
      </c>
      <c r="O200" s="398">
        <v>3537.8409999999999</v>
      </c>
      <c r="P200" s="391" t="s">
        <v>1731</v>
      </c>
      <c r="Q200" s="395">
        <v>3900.8229999999999</v>
      </c>
      <c r="R200" s="399"/>
      <c r="S200" s="399"/>
      <c r="T200" s="879"/>
      <c r="U200" s="397">
        <v>41274</v>
      </c>
      <c r="V200" s="399">
        <v>3539.7795430136985</v>
      </c>
      <c r="W200" s="400">
        <f>Q200/V200</f>
        <v>1.1019960290179303</v>
      </c>
      <c r="X200" s="967" t="s">
        <v>1084</v>
      </c>
      <c r="Y200" s="391" t="s">
        <v>442</v>
      </c>
      <c r="Z200" s="391" t="s">
        <v>1171</v>
      </c>
      <c r="AA200" s="402">
        <v>40056</v>
      </c>
      <c r="AB200" s="402"/>
      <c r="AC200" s="401">
        <v>39475</v>
      </c>
      <c r="AD200" s="401"/>
      <c r="AE200" s="401"/>
      <c r="AF200" s="401"/>
      <c r="AG200" s="390"/>
      <c r="AH200" s="390">
        <v>0</v>
      </c>
      <c r="AI200" s="395"/>
      <c r="AJ200" s="390"/>
      <c r="AK200" s="390"/>
      <c r="AL200" s="390"/>
      <c r="AM200" s="390"/>
      <c r="AN200" s="390"/>
      <c r="AO200" s="391" t="s">
        <v>446</v>
      </c>
      <c r="AP200" s="514"/>
      <c r="AQ200" s="51"/>
    </row>
    <row r="201" spans="1:48" s="474" customFormat="1" ht="12.75" customHeight="1">
      <c r="A201" s="51" t="s">
        <v>220</v>
      </c>
      <c r="B201" s="59" t="s">
        <v>437</v>
      </c>
      <c r="C201" s="391" t="s">
        <v>444</v>
      </c>
      <c r="D201" s="392" t="s">
        <v>847</v>
      </c>
      <c r="E201" s="391" t="s">
        <v>999</v>
      </c>
      <c r="F201" s="392">
        <v>1</v>
      </c>
      <c r="G201" s="449" t="s">
        <v>2860</v>
      </c>
      <c r="H201" s="393" t="s">
        <v>968</v>
      </c>
      <c r="I201" s="394" t="s">
        <v>981</v>
      </c>
      <c r="J201" s="392" t="s">
        <v>1173</v>
      </c>
      <c r="K201" s="393" t="s">
        <v>4</v>
      </c>
      <c r="L201" s="395">
        <f>O201/4.75</f>
        <v>1336.7578947368422</v>
      </c>
      <c r="M201" s="396">
        <v>0</v>
      </c>
      <c r="N201" s="397">
        <v>39539</v>
      </c>
      <c r="O201" s="398">
        <f>(20+40+40)+(624.96*2+312.48)*4</f>
        <v>6349.6</v>
      </c>
      <c r="P201" s="391" t="s">
        <v>1732</v>
      </c>
      <c r="Q201" s="395">
        <v>6214.03</v>
      </c>
      <c r="R201" s="399"/>
      <c r="S201" s="399"/>
      <c r="T201" s="879"/>
      <c r="U201" s="397">
        <v>41274</v>
      </c>
      <c r="V201" s="399">
        <v>6354.1779379956743</v>
      </c>
      <c r="W201" s="400">
        <f>Q201/V201</f>
        <v>0.97794397019358859</v>
      </c>
      <c r="X201" s="967" t="s">
        <v>1084</v>
      </c>
      <c r="Y201" s="391" t="s">
        <v>2926</v>
      </c>
      <c r="Z201" s="391" t="s">
        <v>2927</v>
      </c>
      <c r="AA201" s="494">
        <v>39606</v>
      </c>
      <c r="AB201" s="402">
        <v>40056</v>
      </c>
      <c r="AC201" s="401">
        <v>40015</v>
      </c>
      <c r="AD201" s="401"/>
      <c r="AE201" s="401"/>
      <c r="AF201" s="401"/>
      <c r="AG201" s="390"/>
      <c r="AH201" s="390">
        <v>0</v>
      </c>
      <c r="AI201" s="395"/>
      <c r="AJ201" s="390"/>
      <c r="AK201" s="390"/>
      <c r="AL201" s="390"/>
      <c r="AM201" s="390"/>
      <c r="AN201" s="390"/>
      <c r="AO201" s="391" t="s">
        <v>445</v>
      </c>
      <c r="AP201" s="514"/>
      <c r="AQ201" s="782"/>
    </row>
    <row r="202" spans="1:48" s="474" customFormat="1" ht="12.75" customHeight="1">
      <c r="A202" s="51" t="s">
        <v>432</v>
      </c>
      <c r="B202" s="59" t="s">
        <v>438</v>
      </c>
      <c r="C202" s="391" t="s">
        <v>448</v>
      </c>
      <c r="D202" s="392" t="s">
        <v>847</v>
      </c>
      <c r="E202" s="391" t="s">
        <v>449</v>
      </c>
      <c r="F202" s="392">
        <v>1</v>
      </c>
      <c r="G202" s="392"/>
      <c r="H202" s="393" t="s">
        <v>968</v>
      </c>
      <c r="I202" s="394" t="s">
        <v>3238</v>
      </c>
      <c r="J202" s="392" t="s">
        <v>450</v>
      </c>
      <c r="K202" s="421" t="s">
        <v>2001</v>
      </c>
      <c r="L202" s="395">
        <f t="shared" ref="L202:L209" si="14">O202/5</f>
        <v>139.95940000000002</v>
      </c>
      <c r="M202" s="396">
        <v>0</v>
      </c>
      <c r="N202" s="397">
        <v>39448</v>
      </c>
      <c r="O202" s="398">
        <v>699.79700000000003</v>
      </c>
      <c r="P202" s="391" t="s">
        <v>896</v>
      </c>
      <c r="Q202" s="395">
        <v>615.63199999999995</v>
      </c>
      <c r="R202" s="399"/>
      <c r="S202" s="399"/>
      <c r="T202" s="879"/>
      <c r="U202" s="397">
        <v>41274</v>
      </c>
      <c r="V202" s="399">
        <v>700.180450410959</v>
      </c>
      <c r="W202" s="400">
        <f>Q202/V202</f>
        <v>0.87924762772034726</v>
      </c>
      <c r="X202" s="967" t="s">
        <v>1084</v>
      </c>
      <c r="Y202" s="452" t="s">
        <v>39</v>
      </c>
      <c r="Z202" s="391" t="s">
        <v>1084</v>
      </c>
      <c r="AA202" s="402">
        <v>40056</v>
      </c>
      <c r="AB202" s="402"/>
      <c r="AC202" s="401">
        <v>39828</v>
      </c>
      <c r="AD202" s="401"/>
      <c r="AE202" s="401"/>
      <c r="AF202" s="401"/>
      <c r="AG202" s="390"/>
      <c r="AH202" s="390"/>
      <c r="AI202" s="395"/>
      <c r="AJ202" s="390"/>
      <c r="AK202" s="390"/>
      <c r="AL202" s="390"/>
      <c r="AM202" s="390"/>
      <c r="AN202" s="390"/>
      <c r="AO202" s="391"/>
      <c r="AP202" s="791">
        <v>708</v>
      </c>
      <c r="AQ202" s="784" t="s">
        <v>2817</v>
      </c>
      <c r="AR202" s="851"/>
      <c r="AS202" s="851"/>
      <c r="AT202" s="851"/>
      <c r="AU202" s="851"/>
    </row>
    <row r="203" spans="1:48" s="474" customFormat="1" ht="12.75" customHeight="1">
      <c r="A203" s="51" t="s">
        <v>433</v>
      </c>
      <c r="B203" s="59" t="s">
        <v>439</v>
      </c>
      <c r="C203" s="391" t="s">
        <v>455</v>
      </c>
      <c r="D203" s="392" t="s">
        <v>847</v>
      </c>
      <c r="E203" s="391" t="s">
        <v>456</v>
      </c>
      <c r="F203" s="392">
        <v>1</v>
      </c>
      <c r="G203" s="392"/>
      <c r="H203" s="393" t="s">
        <v>968</v>
      </c>
      <c r="I203" s="394" t="s">
        <v>1488</v>
      </c>
      <c r="J203" s="392" t="s">
        <v>1709</v>
      </c>
      <c r="K203" s="393" t="s">
        <v>689</v>
      </c>
      <c r="L203" s="395">
        <f t="shared" si="14"/>
        <v>111.53920000000001</v>
      </c>
      <c r="M203" s="396">
        <v>-2</v>
      </c>
      <c r="N203" s="397">
        <v>39448</v>
      </c>
      <c r="O203" s="398">
        <v>557.69600000000003</v>
      </c>
      <c r="P203" s="391" t="s">
        <v>896</v>
      </c>
      <c r="Q203" s="395">
        <v>478.76299999999998</v>
      </c>
      <c r="R203" s="399"/>
      <c r="S203" s="399"/>
      <c r="T203" s="879"/>
      <c r="U203" s="397">
        <v>41274</v>
      </c>
      <c r="V203" s="399">
        <v>557.98788071307945</v>
      </c>
      <c r="W203" s="400">
        <f>Q203/V203</f>
        <v>0.8580168432837032</v>
      </c>
      <c r="X203" s="967" t="s">
        <v>1084</v>
      </c>
      <c r="Y203" s="452" t="s">
        <v>39</v>
      </c>
      <c r="Z203" s="391" t="s">
        <v>457</v>
      </c>
      <c r="AA203" s="402">
        <v>40056</v>
      </c>
      <c r="AB203" s="402"/>
      <c r="AC203" s="401">
        <v>39618</v>
      </c>
      <c r="AD203" s="401"/>
      <c r="AE203" s="401"/>
      <c r="AF203" s="401"/>
      <c r="AG203" s="390"/>
      <c r="AH203" s="1076"/>
      <c r="AI203" s="395"/>
      <c r="AJ203" s="390"/>
      <c r="AK203" s="390"/>
      <c r="AL203" s="390"/>
      <c r="AM203" s="390"/>
      <c r="AN203" s="390"/>
      <c r="AO203" s="391"/>
      <c r="AP203" s="791">
        <v>400</v>
      </c>
      <c r="AQ203" s="784" t="s">
        <v>2816</v>
      </c>
    </row>
    <row r="204" spans="1:48" s="474" customFormat="1" ht="12.75" customHeight="1">
      <c r="A204" s="51" t="s">
        <v>434</v>
      </c>
      <c r="B204" s="59" t="s">
        <v>440</v>
      </c>
      <c r="C204" s="391" t="s">
        <v>458</v>
      </c>
      <c r="D204" s="392" t="s">
        <v>847</v>
      </c>
      <c r="E204" s="391" t="s">
        <v>460</v>
      </c>
      <c r="F204" s="392">
        <v>1</v>
      </c>
      <c r="G204" s="392"/>
      <c r="H204" s="393" t="s">
        <v>968</v>
      </c>
      <c r="I204" s="394" t="s">
        <v>1082</v>
      </c>
      <c r="J204" s="392" t="s">
        <v>459</v>
      </c>
      <c r="K204" s="393" t="s">
        <v>1084</v>
      </c>
      <c r="L204" s="390">
        <f t="shared" si="14"/>
        <v>0.86899999999999999</v>
      </c>
      <c r="M204" s="396">
        <v>0</v>
      </c>
      <c r="N204" s="397">
        <v>39448</v>
      </c>
      <c r="O204" s="398">
        <v>4.3449999999999998</v>
      </c>
      <c r="P204" s="391" t="s">
        <v>1084</v>
      </c>
      <c r="Q204" s="395"/>
      <c r="R204" s="391"/>
      <c r="S204" s="391"/>
      <c r="T204" s="879"/>
      <c r="U204" s="397"/>
      <c r="V204" s="399"/>
      <c r="W204" s="400"/>
      <c r="X204" s="545"/>
      <c r="Y204" s="391" t="s">
        <v>461</v>
      </c>
      <c r="Z204" s="391" t="s">
        <v>1084</v>
      </c>
      <c r="AA204" s="402">
        <v>40056</v>
      </c>
      <c r="AB204" s="402"/>
      <c r="AC204" s="401">
        <v>36692</v>
      </c>
      <c r="AD204" s="401"/>
      <c r="AE204" s="401"/>
      <c r="AF204" s="401"/>
      <c r="AG204" s="390"/>
      <c r="AH204" s="390">
        <v>0</v>
      </c>
      <c r="AI204" s="395"/>
      <c r="AJ204" s="390"/>
      <c r="AK204" s="390"/>
      <c r="AL204" s="390"/>
      <c r="AM204" s="390"/>
      <c r="AN204" s="390"/>
      <c r="AO204" s="391"/>
      <c r="AP204" s="514"/>
      <c r="AQ204" s="51"/>
      <c r="AR204" s="489"/>
      <c r="AS204" s="489"/>
      <c r="AT204" s="489"/>
      <c r="AU204" s="489"/>
      <c r="AV204" s="489"/>
    </row>
    <row r="205" spans="1:48" s="474" customFormat="1" ht="12.75" customHeight="1">
      <c r="A205" s="51" t="s">
        <v>435</v>
      </c>
      <c r="B205" s="59" t="s">
        <v>441</v>
      </c>
      <c r="C205" s="391" t="s">
        <v>462</v>
      </c>
      <c r="D205" s="392" t="s">
        <v>847</v>
      </c>
      <c r="E205" s="391" t="s">
        <v>465</v>
      </c>
      <c r="F205" s="392">
        <v>1</v>
      </c>
      <c r="G205" s="392"/>
      <c r="H205" s="393" t="s">
        <v>968</v>
      </c>
      <c r="I205" s="394" t="s">
        <v>972</v>
      </c>
      <c r="J205" s="392" t="s">
        <v>463</v>
      </c>
      <c r="K205" s="421" t="s">
        <v>2001</v>
      </c>
      <c r="L205" s="395">
        <f t="shared" si="14"/>
        <v>36.237000000000002</v>
      </c>
      <c r="M205" s="396">
        <v>0</v>
      </c>
      <c r="N205" s="397">
        <v>39448</v>
      </c>
      <c r="O205" s="398">
        <v>181.185</v>
      </c>
      <c r="P205" s="391" t="s">
        <v>1731</v>
      </c>
      <c r="Q205" s="395"/>
      <c r="R205" s="391"/>
      <c r="S205" s="391"/>
      <c r="T205" s="879"/>
      <c r="U205" s="397"/>
      <c r="V205" s="399"/>
      <c r="W205" s="400"/>
      <c r="X205" s="545"/>
      <c r="Y205" s="391" t="s">
        <v>504</v>
      </c>
      <c r="Z205" s="391" t="s">
        <v>504</v>
      </c>
      <c r="AA205" s="402">
        <v>40056</v>
      </c>
      <c r="AB205" s="402"/>
      <c r="AC205" s="401">
        <v>38630</v>
      </c>
      <c r="AD205" s="401"/>
      <c r="AE205" s="401"/>
      <c r="AF205" s="401"/>
      <c r="AG205" s="390"/>
      <c r="AH205" s="390">
        <v>0</v>
      </c>
      <c r="AI205" s="395"/>
      <c r="AJ205" s="390"/>
      <c r="AK205" s="390"/>
      <c r="AL205" s="390"/>
      <c r="AM205" s="390"/>
      <c r="AN205" s="390"/>
      <c r="AO205" s="391" t="s">
        <v>464</v>
      </c>
      <c r="AP205" s="514"/>
      <c r="AQ205" s="51"/>
    </row>
    <row r="206" spans="1:48" s="474" customFormat="1" ht="25.5" customHeight="1">
      <c r="A206" s="51" t="s">
        <v>1262</v>
      </c>
      <c r="B206" s="59" t="s">
        <v>1259</v>
      </c>
      <c r="C206" s="391" t="s">
        <v>1270</v>
      </c>
      <c r="D206" s="392" t="s">
        <v>847</v>
      </c>
      <c r="E206" s="391" t="s">
        <v>1273</v>
      </c>
      <c r="F206" s="392">
        <v>1</v>
      </c>
      <c r="G206" s="392"/>
      <c r="H206" s="393" t="s">
        <v>968</v>
      </c>
      <c r="I206" s="394" t="s">
        <v>1488</v>
      </c>
      <c r="J206" s="392" t="s">
        <v>1709</v>
      </c>
      <c r="K206" s="421" t="s">
        <v>2001</v>
      </c>
      <c r="L206" s="395">
        <f t="shared" si="14"/>
        <v>95.748599999999996</v>
      </c>
      <c r="M206" s="396">
        <v>0</v>
      </c>
      <c r="N206" s="397">
        <v>39448</v>
      </c>
      <c r="O206" s="398">
        <v>478.74299999999999</v>
      </c>
      <c r="P206" s="391" t="s">
        <v>896</v>
      </c>
      <c r="Q206" s="395">
        <v>505.74299999999999</v>
      </c>
      <c r="R206" s="399"/>
      <c r="S206" s="399"/>
      <c r="T206" s="879"/>
      <c r="U206" s="397">
        <v>41274</v>
      </c>
      <c r="V206" s="399">
        <v>479.00532493150683</v>
      </c>
      <c r="W206" s="400">
        <f>Q206/V206</f>
        <v>1.0558191604076979</v>
      </c>
      <c r="X206" s="967" t="s">
        <v>1084</v>
      </c>
      <c r="Y206" s="452" t="s">
        <v>39</v>
      </c>
      <c r="Z206" s="391" t="s">
        <v>1271</v>
      </c>
      <c r="AA206" s="402">
        <v>40057</v>
      </c>
      <c r="AB206" s="402"/>
      <c r="AC206" s="401">
        <v>38807</v>
      </c>
      <c r="AD206" s="401"/>
      <c r="AE206" s="401"/>
      <c r="AF206" s="401"/>
      <c r="AG206" s="390"/>
      <c r="AH206" s="390">
        <v>2.1</v>
      </c>
      <c r="AI206" s="395">
        <f>17500/AH206</f>
        <v>8333.3333333333321</v>
      </c>
      <c r="AJ206" s="390"/>
      <c r="AK206" s="390"/>
      <c r="AL206" s="390"/>
      <c r="AM206" s="390"/>
      <c r="AN206" s="390"/>
      <c r="AO206" s="391" t="s">
        <v>1272</v>
      </c>
      <c r="AP206" s="791">
        <v>598</v>
      </c>
      <c r="AQ206" s="784" t="s">
        <v>2820</v>
      </c>
    </row>
    <row r="207" spans="1:48" s="474" customFormat="1" ht="12.75" customHeight="1">
      <c r="A207" s="51" t="s">
        <v>1264</v>
      </c>
      <c r="B207" s="59" t="s">
        <v>1261</v>
      </c>
      <c r="C207" s="391" t="s">
        <v>1274</v>
      </c>
      <c r="D207" s="392" t="s">
        <v>847</v>
      </c>
      <c r="E207" s="391" t="s">
        <v>1275</v>
      </c>
      <c r="F207" s="392">
        <v>1</v>
      </c>
      <c r="G207" s="392"/>
      <c r="H207" s="393" t="s">
        <v>968</v>
      </c>
      <c r="I207" s="394" t="s">
        <v>971</v>
      </c>
      <c r="J207" s="392" t="s">
        <v>1364</v>
      </c>
      <c r="K207" s="393" t="s">
        <v>1084</v>
      </c>
      <c r="L207" s="395">
        <f t="shared" si="14"/>
        <v>2.3426</v>
      </c>
      <c r="M207" s="396">
        <v>0</v>
      </c>
      <c r="N207" s="397">
        <v>39448</v>
      </c>
      <c r="O207" s="398">
        <v>11.712999999999999</v>
      </c>
      <c r="P207" s="391" t="s">
        <v>1084</v>
      </c>
      <c r="Q207" s="395"/>
      <c r="R207" s="391"/>
      <c r="S207" s="391"/>
      <c r="T207" s="879"/>
      <c r="U207" s="397"/>
      <c r="V207" s="399"/>
      <c r="W207" s="400"/>
      <c r="X207" s="545"/>
      <c r="Y207" s="391" t="s">
        <v>610</v>
      </c>
      <c r="Z207" s="391" t="s">
        <v>1084</v>
      </c>
      <c r="AA207" s="402">
        <v>40057</v>
      </c>
      <c r="AB207" s="402"/>
      <c r="AC207" s="401">
        <v>37025</v>
      </c>
      <c r="AD207" s="401"/>
      <c r="AE207" s="401"/>
      <c r="AF207" s="401"/>
      <c r="AG207" s="390"/>
      <c r="AH207" s="390">
        <v>0.9</v>
      </c>
      <c r="AI207" s="395"/>
      <c r="AJ207" s="390"/>
      <c r="AK207" s="390"/>
      <c r="AL207" s="390"/>
      <c r="AM207" s="390"/>
      <c r="AN207" s="390"/>
      <c r="AO207" s="391"/>
      <c r="AP207" s="514"/>
      <c r="AQ207" s="51"/>
      <c r="AR207" s="820"/>
      <c r="AS207" s="820"/>
      <c r="AT207" s="820"/>
      <c r="AU207" s="820"/>
      <c r="AV207" s="464"/>
    </row>
    <row r="208" spans="1:48" s="474" customFormat="1" ht="12.75" customHeight="1">
      <c r="A208" s="51" t="s">
        <v>1266</v>
      </c>
      <c r="B208" s="59" t="s">
        <v>1263</v>
      </c>
      <c r="C208" s="391" t="s">
        <v>2925</v>
      </c>
      <c r="D208" s="392" t="s">
        <v>847</v>
      </c>
      <c r="E208" s="391" t="s">
        <v>1276</v>
      </c>
      <c r="F208" s="392">
        <v>1</v>
      </c>
      <c r="G208" s="392"/>
      <c r="H208" s="393" t="s">
        <v>968</v>
      </c>
      <c r="I208" s="394" t="s">
        <v>1488</v>
      </c>
      <c r="J208" s="392" t="s">
        <v>1710</v>
      </c>
      <c r="K208" s="393" t="s">
        <v>1084</v>
      </c>
      <c r="L208" s="395">
        <f t="shared" si="14"/>
        <v>43.373200000000004</v>
      </c>
      <c r="M208" s="396">
        <v>0</v>
      </c>
      <c r="N208" s="397">
        <v>39448</v>
      </c>
      <c r="O208" s="398">
        <v>216.86600000000001</v>
      </c>
      <c r="P208" s="391" t="s">
        <v>896</v>
      </c>
      <c r="Q208" s="395"/>
      <c r="R208" s="391"/>
      <c r="S208" s="391"/>
      <c r="T208" s="879"/>
      <c r="U208" s="397"/>
      <c r="V208" s="399"/>
      <c r="W208" s="400"/>
      <c r="X208" s="545"/>
      <c r="Y208" s="391" t="s">
        <v>461</v>
      </c>
      <c r="Z208" s="391" t="s">
        <v>249</v>
      </c>
      <c r="AA208" s="402">
        <v>40057</v>
      </c>
      <c r="AB208" s="402"/>
      <c r="AC208" s="401">
        <v>39979</v>
      </c>
      <c r="AD208" s="401"/>
      <c r="AE208" s="401"/>
      <c r="AF208" s="401"/>
      <c r="AG208" s="390"/>
      <c r="AH208" s="390">
        <v>0</v>
      </c>
      <c r="AI208" s="395"/>
      <c r="AJ208" s="390"/>
      <c r="AK208" s="390"/>
      <c r="AL208" s="390"/>
      <c r="AM208" s="390"/>
      <c r="AN208" s="390"/>
      <c r="AO208" s="391" t="s">
        <v>1277</v>
      </c>
      <c r="AP208" s="514"/>
      <c r="AQ208" s="52"/>
    </row>
    <row r="209" spans="1:48" s="474" customFormat="1" ht="12.75" customHeight="1">
      <c r="A209" s="51" t="s">
        <v>1268</v>
      </c>
      <c r="B209" s="59" t="s">
        <v>1265</v>
      </c>
      <c r="C209" s="391" t="s">
        <v>1278</v>
      </c>
      <c r="D209" s="392" t="s">
        <v>847</v>
      </c>
      <c r="E209" s="391" t="s">
        <v>465</v>
      </c>
      <c r="F209" s="392">
        <v>1</v>
      </c>
      <c r="G209" s="392"/>
      <c r="H209" s="393" t="s">
        <v>968</v>
      </c>
      <c r="I209" s="394" t="s">
        <v>970</v>
      </c>
      <c r="J209" s="392" t="s">
        <v>970</v>
      </c>
      <c r="K209" s="393" t="s">
        <v>680</v>
      </c>
      <c r="L209" s="395">
        <f t="shared" si="14"/>
        <v>67.239599999999996</v>
      </c>
      <c r="M209" s="396">
        <v>0</v>
      </c>
      <c r="N209" s="397">
        <v>39448</v>
      </c>
      <c r="O209" s="398">
        <f>336.198</f>
        <v>336.19799999999998</v>
      </c>
      <c r="P209" s="391" t="s">
        <v>1731</v>
      </c>
      <c r="Q209" s="395">
        <v>286.83300000000003</v>
      </c>
      <c r="R209" s="399"/>
      <c r="S209" s="399"/>
      <c r="T209" s="879"/>
      <c r="U209" s="397">
        <v>41274</v>
      </c>
      <c r="V209" s="399">
        <v>336.38221808219174</v>
      </c>
      <c r="W209" s="400">
        <f>Q209/V209</f>
        <v>0.85269965111507517</v>
      </c>
      <c r="X209" s="967" t="s">
        <v>1084</v>
      </c>
      <c r="Y209" s="391" t="s">
        <v>1280</v>
      </c>
      <c r="Z209" s="391" t="s">
        <v>1279</v>
      </c>
      <c r="AA209" s="402">
        <v>40057</v>
      </c>
      <c r="AB209" s="402"/>
      <c r="AC209" s="401">
        <v>39113</v>
      </c>
      <c r="AD209" s="401"/>
      <c r="AE209" s="401"/>
      <c r="AF209" s="401"/>
      <c r="AG209" s="390"/>
      <c r="AH209" s="390">
        <v>30.6</v>
      </c>
      <c r="AI209" s="395">
        <f>70000/AH209</f>
        <v>2287.581699346405</v>
      </c>
      <c r="AJ209" s="390"/>
      <c r="AK209" s="390"/>
      <c r="AL209" s="390"/>
      <c r="AM209" s="390"/>
      <c r="AN209" s="390"/>
      <c r="AO209" s="391" t="s">
        <v>1281</v>
      </c>
      <c r="AP209" s="514"/>
      <c r="AQ209" s="51"/>
    </row>
    <row r="210" spans="1:48" s="474" customFormat="1" ht="12.75" customHeight="1">
      <c r="A210" s="51" t="s">
        <v>1718</v>
      </c>
      <c r="B210" s="59" t="s">
        <v>1267</v>
      </c>
      <c r="C210" s="391" t="s">
        <v>1282</v>
      </c>
      <c r="D210" s="392" t="s">
        <v>847</v>
      </c>
      <c r="E210" s="391" t="s">
        <v>81</v>
      </c>
      <c r="F210" s="392">
        <v>1</v>
      </c>
      <c r="G210" s="392"/>
      <c r="H210" s="404" t="s">
        <v>968</v>
      </c>
      <c r="I210" s="394" t="s">
        <v>1488</v>
      </c>
      <c r="J210" s="392" t="s">
        <v>1709</v>
      </c>
      <c r="K210" s="421" t="s">
        <v>2001</v>
      </c>
      <c r="L210" s="395">
        <v>21</v>
      </c>
      <c r="M210" s="396">
        <v>1</v>
      </c>
      <c r="N210" s="397">
        <v>39448</v>
      </c>
      <c r="O210" s="398">
        <f>L210*5</f>
        <v>105</v>
      </c>
      <c r="P210" s="391" t="s">
        <v>896</v>
      </c>
      <c r="Q210" s="395">
        <v>235.59700000000001</v>
      </c>
      <c r="R210" s="399"/>
      <c r="S210" s="399"/>
      <c r="T210" s="879"/>
      <c r="U210" s="397">
        <v>41274</v>
      </c>
      <c r="V210" s="399">
        <v>105.06438731469319</v>
      </c>
      <c r="W210" s="400">
        <f>Q210/V210</f>
        <v>2.2424058810178007</v>
      </c>
      <c r="X210" s="553" t="s">
        <v>1084</v>
      </c>
      <c r="Y210" s="452" t="s">
        <v>39</v>
      </c>
      <c r="Z210" s="391" t="s">
        <v>1271</v>
      </c>
      <c r="AA210" s="402">
        <v>40057</v>
      </c>
      <c r="AB210" s="402"/>
      <c r="AC210" s="401">
        <v>38377</v>
      </c>
      <c r="AD210" s="401"/>
      <c r="AE210" s="401"/>
      <c r="AF210" s="401"/>
      <c r="AG210" s="390"/>
      <c r="AH210" s="1076"/>
      <c r="AI210" s="395"/>
      <c r="AJ210" s="390"/>
      <c r="AK210" s="390"/>
      <c r="AL210" s="390"/>
      <c r="AM210" s="390"/>
      <c r="AN210" s="390"/>
      <c r="AO210" s="391" t="s">
        <v>1283</v>
      </c>
      <c r="AP210" s="791">
        <v>127</v>
      </c>
      <c r="AQ210" s="784" t="s">
        <v>2819</v>
      </c>
    </row>
    <row r="211" spans="1:48" s="474" customFormat="1" ht="12.75" customHeight="1">
      <c r="A211" s="51" t="s">
        <v>1719</v>
      </c>
      <c r="B211" s="59" t="s">
        <v>1269</v>
      </c>
      <c r="C211" s="391" t="s">
        <v>1284</v>
      </c>
      <c r="D211" s="392" t="s">
        <v>847</v>
      </c>
      <c r="E211" s="391" t="s">
        <v>449</v>
      </c>
      <c r="F211" s="392">
        <v>1</v>
      </c>
      <c r="G211" s="392"/>
      <c r="H211" s="393" t="s">
        <v>968</v>
      </c>
      <c r="I211" s="394" t="s">
        <v>970</v>
      </c>
      <c r="J211" s="392" t="s">
        <v>970</v>
      </c>
      <c r="K211" s="421" t="s">
        <v>2001</v>
      </c>
      <c r="L211" s="395">
        <f>O211/5</f>
        <v>37.495800000000003</v>
      </c>
      <c r="M211" s="396">
        <v>0</v>
      </c>
      <c r="N211" s="397">
        <v>39448</v>
      </c>
      <c r="O211" s="398">
        <v>187.47900000000001</v>
      </c>
      <c r="P211" s="391" t="s">
        <v>1731</v>
      </c>
      <c r="Q211" s="395">
        <v>182.857</v>
      </c>
      <c r="R211" s="399"/>
      <c r="S211" s="399"/>
      <c r="T211" s="879"/>
      <c r="U211" s="397">
        <v>41274</v>
      </c>
      <c r="V211" s="399">
        <v>187.5817282191781</v>
      </c>
      <c r="W211" s="400">
        <f>Q211/V211</f>
        <v>0.97481242835305615</v>
      </c>
      <c r="X211" s="967" t="s">
        <v>1084</v>
      </c>
      <c r="Y211" s="452" t="s">
        <v>39</v>
      </c>
      <c r="Z211" s="391" t="s">
        <v>1271</v>
      </c>
      <c r="AA211" s="402">
        <v>40057</v>
      </c>
      <c r="AB211" s="402"/>
      <c r="AC211" s="401">
        <v>38362</v>
      </c>
      <c r="AD211" s="401"/>
      <c r="AE211" s="401"/>
      <c r="AF211" s="401"/>
      <c r="AG211" s="390"/>
      <c r="AH211" s="390">
        <f>15*2</f>
        <v>30</v>
      </c>
      <c r="AI211" s="395">
        <f>63000/AH211</f>
        <v>2100</v>
      </c>
      <c r="AJ211" s="390"/>
      <c r="AK211" s="390"/>
      <c r="AL211" s="390"/>
      <c r="AM211" s="390"/>
      <c r="AN211" s="390"/>
      <c r="AO211" s="391"/>
      <c r="AP211" s="791">
        <v>405.10700000000003</v>
      </c>
      <c r="AQ211" s="784" t="s">
        <v>2818</v>
      </c>
    </row>
    <row r="212" spans="1:48" s="474" customFormat="1" ht="12.75" customHeight="1">
      <c r="A212" s="51" t="s">
        <v>1649</v>
      </c>
      <c r="B212" s="59" t="s">
        <v>1646</v>
      </c>
      <c r="C212" s="391" t="s">
        <v>1704</v>
      </c>
      <c r="D212" s="392" t="s">
        <v>847</v>
      </c>
      <c r="E212" s="391" t="s">
        <v>1705</v>
      </c>
      <c r="F212" s="392">
        <v>1</v>
      </c>
      <c r="G212" s="392"/>
      <c r="H212" s="393" t="s">
        <v>968</v>
      </c>
      <c r="I212" s="394" t="s">
        <v>1488</v>
      </c>
      <c r="J212" s="392" t="s">
        <v>1710</v>
      </c>
      <c r="K212" s="421" t="s">
        <v>2001</v>
      </c>
      <c r="L212" s="395">
        <f>O212/5</f>
        <v>50.6</v>
      </c>
      <c r="M212" s="396">
        <v>0</v>
      </c>
      <c r="N212" s="397">
        <v>39448</v>
      </c>
      <c r="O212" s="398">
        <v>253</v>
      </c>
      <c r="P212" s="391" t="s">
        <v>1486</v>
      </c>
      <c r="Q212" s="395"/>
      <c r="R212" s="396"/>
      <c r="S212" s="396"/>
      <c r="T212" s="879"/>
      <c r="U212" s="397"/>
      <c r="V212" s="399"/>
      <c r="W212" s="400"/>
      <c r="X212" s="545"/>
      <c r="Y212" s="391" t="s">
        <v>461</v>
      </c>
      <c r="Z212" s="391" t="s">
        <v>1084</v>
      </c>
      <c r="AA212" s="402">
        <v>40070</v>
      </c>
      <c r="AB212" s="402"/>
      <c r="AC212" s="401">
        <v>38163</v>
      </c>
      <c r="AD212" s="401"/>
      <c r="AE212" s="401"/>
      <c r="AF212" s="401"/>
      <c r="AG212" s="390"/>
      <c r="AH212" s="390">
        <v>0</v>
      </c>
      <c r="AI212" s="395"/>
      <c r="AJ212" s="378"/>
      <c r="AK212" s="390"/>
      <c r="AL212" s="390"/>
      <c r="AM212" s="390"/>
      <c r="AN212" s="390"/>
      <c r="AO212" s="391" t="s">
        <v>1706</v>
      </c>
      <c r="AP212" s="514"/>
      <c r="AQ212" s="782"/>
    </row>
    <row r="213" spans="1:48" s="474" customFormat="1" ht="12.75" customHeight="1">
      <c r="A213" s="51" t="s">
        <v>1480</v>
      </c>
      <c r="B213" s="499" t="s">
        <v>2164</v>
      </c>
      <c r="C213" s="445" t="s">
        <v>1481</v>
      </c>
      <c r="D213" s="449" t="s">
        <v>847</v>
      </c>
      <c r="E213" s="445" t="s">
        <v>2165</v>
      </c>
      <c r="F213" s="420">
        <v>1</v>
      </c>
      <c r="G213" s="449" t="s">
        <v>2784</v>
      </c>
      <c r="H213" s="421" t="s">
        <v>968</v>
      </c>
      <c r="I213" s="455" t="s">
        <v>981</v>
      </c>
      <c r="J213" s="725" t="s">
        <v>1173</v>
      </c>
      <c r="K213" s="450" t="s">
        <v>4</v>
      </c>
      <c r="L213" s="422">
        <v>358.63499999999999</v>
      </c>
      <c r="M213" s="423">
        <v>0</v>
      </c>
      <c r="N213" s="444">
        <v>39801</v>
      </c>
      <c r="O213" s="424">
        <f>L213*4.034</f>
        <v>1446.7335899999998</v>
      </c>
      <c r="P213" s="445" t="s">
        <v>1731</v>
      </c>
      <c r="Q213" s="422">
        <v>1224.538</v>
      </c>
      <c r="R213" s="425"/>
      <c r="S213" s="425"/>
      <c r="T213" s="881"/>
      <c r="U213" s="397">
        <v>41274</v>
      </c>
      <c r="V213" s="399">
        <v>1447.3133013698632</v>
      </c>
      <c r="W213" s="400">
        <f>Q213/V213</f>
        <v>0.84607665723861636</v>
      </c>
      <c r="X213" s="967" t="s">
        <v>1084</v>
      </c>
      <c r="Y213" s="391" t="s">
        <v>2166</v>
      </c>
      <c r="Z213" s="445" t="s">
        <v>1473</v>
      </c>
      <c r="AA213" s="430">
        <v>39709</v>
      </c>
      <c r="AB213" s="431">
        <v>40200</v>
      </c>
      <c r="AC213" s="431">
        <v>40438</v>
      </c>
      <c r="AD213" s="431"/>
      <c r="AE213" s="431"/>
      <c r="AF213" s="431"/>
      <c r="AG213" s="420"/>
      <c r="AH213" s="432">
        <v>0</v>
      </c>
      <c r="AI213" s="420"/>
      <c r="AJ213" s="420"/>
      <c r="AK213" s="420"/>
      <c r="AL213" s="420"/>
      <c r="AM213" s="420"/>
      <c r="AN213" s="420"/>
      <c r="AO213" s="419"/>
      <c r="AP213" s="463"/>
      <c r="AQ213" s="51"/>
    </row>
    <row r="214" spans="1:48" s="474" customFormat="1" ht="12.75" customHeight="1">
      <c r="A214" s="467" t="s">
        <v>2470</v>
      </c>
      <c r="B214" s="468" t="s">
        <v>2519</v>
      </c>
      <c r="C214" s="445" t="s">
        <v>2466</v>
      </c>
      <c r="D214" s="449" t="s">
        <v>847</v>
      </c>
      <c r="E214" s="445" t="s">
        <v>2473</v>
      </c>
      <c r="F214" s="420">
        <v>1</v>
      </c>
      <c r="G214" s="420"/>
      <c r="H214" s="421" t="s">
        <v>968</v>
      </c>
      <c r="I214" s="394" t="s">
        <v>845</v>
      </c>
      <c r="J214" s="392" t="s">
        <v>346</v>
      </c>
      <c r="K214" s="421" t="s">
        <v>842</v>
      </c>
      <c r="L214" s="422">
        <v>45.293999999999997</v>
      </c>
      <c r="M214" s="423">
        <v>0</v>
      </c>
      <c r="N214" s="444">
        <v>39538</v>
      </c>
      <c r="O214" s="424">
        <f>L214*4.75</f>
        <v>215.14649999999997</v>
      </c>
      <c r="P214" s="445" t="s">
        <v>1084</v>
      </c>
      <c r="Q214" s="422">
        <v>106.60899999999999</v>
      </c>
      <c r="R214" s="425"/>
      <c r="S214" s="425"/>
      <c r="T214" s="881"/>
      <c r="U214" s="397">
        <v>41274</v>
      </c>
      <c r="V214" s="399">
        <v>215.42570958904108</v>
      </c>
      <c r="W214" s="400">
        <f>Q214/V214</f>
        <v>0.49487593752562625</v>
      </c>
      <c r="X214" s="967" t="s">
        <v>1084</v>
      </c>
      <c r="Y214" s="419" t="s">
        <v>674</v>
      </c>
      <c r="Z214" s="445" t="s">
        <v>2474</v>
      </c>
      <c r="AA214" s="431">
        <v>40669</v>
      </c>
      <c r="AB214" s="431"/>
      <c r="AC214" s="431">
        <v>40214</v>
      </c>
      <c r="AD214" s="431"/>
      <c r="AE214" s="431"/>
      <c r="AF214" s="431"/>
      <c r="AG214" s="420"/>
      <c r="AH214" s="432">
        <v>1.819</v>
      </c>
      <c r="AI214" s="422">
        <f>11787/AH214</f>
        <v>6479.9340296866412</v>
      </c>
      <c r="AJ214" s="420"/>
      <c r="AK214" s="420"/>
      <c r="AL214" s="420"/>
      <c r="AM214" s="420"/>
      <c r="AN214" s="420"/>
      <c r="AO214" s="419"/>
      <c r="AP214" s="530"/>
      <c r="AQ214" s="466"/>
    </row>
    <row r="215" spans="1:48" s="474" customFormat="1" ht="12.75" customHeight="1">
      <c r="A215" s="467" t="s">
        <v>2506</v>
      </c>
      <c r="B215" s="468" t="s">
        <v>2520</v>
      </c>
      <c r="C215" s="445" t="s">
        <v>2503</v>
      </c>
      <c r="D215" s="449" t="s">
        <v>847</v>
      </c>
      <c r="E215" s="445" t="s">
        <v>2510</v>
      </c>
      <c r="F215" s="420">
        <v>1</v>
      </c>
      <c r="G215" s="420"/>
      <c r="H215" s="421" t="s">
        <v>968</v>
      </c>
      <c r="I215" s="394" t="s">
        <v>972</v>
      </c>
      <c r="J215" s="392" t="s">
        <v>463</v>
      </c>
      <c r="K215" s="421" t="s">
        <v>2001</v>
      </c>
      <c r="L215" s="422">
        <f>O215/5</f>
        <v>25.227</v>
      </c>
      <c r="M215" s="423">
        <v>1</v>
      </c>
      <c r="N215" s="444">
        <v>40179</v>
      </c>
      <c r="O215" s="424">
        <v>126.13500000000001</v>
      </c>
      <c r="P215" s="445" t="s">
        <v>1084</v>
      </c>
      <c r="Q215" s="422">
        <v>69.001000000000005</v>
      </c>
      <c r="R215" s="425"/>
      <c r="S215" s="425"/>
      <c r="T215" s="881"/>
      <c r="U215" s="397">
        <v>41274</v>
      </c>
      <c r="V215" s="399">
        <v>72.680999999999997</v>
      </c>
      <c r="W215" s="400">
        <f>Q215/V215</f>
        <v>0.94936778525336751</v>
      </c>
      <c r="X215" s="967" t="s">
        <v>1084</v>
      </c>
      <c r="Y215" s="452" t="s">
        <v>39</v>
      </c>
      <c r="Z215" s="391" t="s">
        <v>1271</v>
      </c>
      <c r="AA215" s="431">
        <v>40697</v>
      </c>
      <c r="AB215" s="431"/>
      <c r="AC215" s="431">
        <v>40388</v>
      </c>
      <c r="AD215" s="431"/>
      <c r="AE215" s="431"/>
      <c r="AF215" s="431"/>
      <c r="AG215" s="420"/>
      <c r="AH215" s="432">
        <v>0</v>
      </c>
      <c r="AI215" s="422"/>
      <c r="AJ215" s="432"/>
      <c r="AK215" s="432"/>
      <c r="AL215" s="420"/>
      <c r="AM215" s="420"/>
      <c r="AN215" s="420"/>
      <c r="AO215" s="419"/>
      <c r="AP215" s="792">
        <v>100</v>
      </c>
      <c r="AQ215" s="784" t="s">
        <v>2821</v>
      </c>
    </row>
    <row r="216" spans="1:48" s="474" customFormat="1" ht="12.75" customHeight="1">
      <c r="A216" s="51" t="s">
        <v>1787</v>
      </c>
      <c r="B216" s="992" t="s">
        <v>3053</v>
      </c>
      <c r="C216" s="445" t="s">
        <v>3035</v>
      </c>
      <c r="D216" s="420" t="s">
        <v>847</v>
      </c>
      <c r="E216" s="419" t="s">
        <v>1044</v>
      </c>
      <c r="F216" s="420">
        <v>1</v>
      </c>
      <c r="G216" s="449" t="s">
        <v>3036</v>
      </c>
      <c r="H216" s="421" t="s">
        <v>968</v>
      </c>
      <c r="I216" s="533" t="s">
        <v>845</v>
      </c>
      <c r="J216" s="420" t="s">
        <v>346</v>
      </c>
      <c r="K216" s="421" t="s">
        <v>842</v>
      </c>
      <c r="L216" s="422">
        <v>140.59399999999999</v>
      </c>
      <c r="M216" s="423">
        <v>0</v>
      </c>
      <c r="N216" s="444">
        <v>39448</v>
      </c>
      <c r="O216" s="424">
        <f>L216*5</f>
        <v>702.97</v>
      </c>
      <c r="P216" s="419" t="s">
        <v>728</v>
      </c>
      <c r="Q216" s="422">
        <f>518.473</f>
        <v>518.47299999999996</v>
      </c>
      <c r="R216" s="425"/>
      <c r="S216" s="425"/>
      <c r="T216" s="881"/>
      <c r="U216" s="397">
        <v>41274</v>
      </c>
      <c r="V216" s="425">
        <v>703.35518904109585</v>
      </c>
      <c r="W216" s="427"/>
      <c r="X216" s="543"/>
      <c r="Y216" s="419" t="s">
        <v>1797</v>
      </c>
      <c r="Z216" s="429" t="s">
        <v>1057</v>
      </c>
      <c r="AA216" s="805">
        <v>40257</v>
      </c>
      <c r="AB216" s="430">
        <v>41012</v>
      </c>
      <c r="AC216" s="431">
        <v>41005</v>
      </c>
      <c r="AD216" s="431"/>
      <c r="AE216" s="431"/>
      <c r="AF216" s="431"/>
      <c r="AG216" s="432"/>
      <c r="AH216" s="432">
        <v>0</v>
      </c>
      <c r="AI216" s="422"/>
      <c r="AJ216" s="913"/>
      <c r="AK216" s="432"/>
      <c r="AL216" s="422"/>
      <c r="AM216" s="432"/>
      <c r="AN216" s="432"/>
      <c r="AO216" s="419"/>
      <c r="AP216" s="514"/>
      <c r="AQ216" s="51"/>
    </row>
    <row r="217" spans="1:48" s="474" customFormat="1" ht="12.75" customHeight="1">
      <c r="A217" s="467" t="s">
        <v>2991</v>
      </c>
      <c r="B217" s="468" t="s">
        <v>3072</v>
      </c>
      <c r="C217" s="445" t="s">
        <v>2994</v>
      </c>
      <c r="D217" s="449" t="s">
        <v>847</v>
      </c>
      <c r="E217" s="445" t="s">
        <v>2995</v>
      </c>
      <c r="F217" s="420">
        <v>1</v>
      </c>
      <c r="G217" s="420"/>
      <c r="H217" s="421" t="s">
        <v>968</v>
      </c>
      <c r="I217" s="471" t="s">
        <v>845</v>
      </c>
      <c r="J217" s="420" t="s">
        <v>346</v>
      </c>
      <c r="K217" s="490" t="s">
        <v>842</v>
      </c>
      <c r="L217" s="422">
        <v>109.56</v>
      </c>
      <c r="M217" s="423">
        <v>50</v>
      </c>
      <c r="N217" s="444">
        <v>39962</v>
      </c>
      <c r="O217" s="424">
        <v>393.81400000000002</v>
      </c>
      <c r="P217" s="513" t="s">
        <v>1084</v>
      </c>
      <c r="Q217" s="422">
        <f>201.861</f>
        <v>201.86099999999999</v>
      </c>
      <c r="R217" s="425"/>
      <c r="S217" s="425"/>
      <c r="T217" s="881"/>
      <c r="U217" s="397">
        <v>41274</v>
      </c>
      <c r="V217" s="425">
        <v>267.51505197973353</v>
      </c>
      <c r="W217" s="419"/>
      <c r="X217" s="543"/>
      <c r="Y217" s="419" t="s">
        <v>674</v>
      </c>
      <c r="Z217" s="445" t="s">
        <v>2996</v>
      </c>
      <c r="AA217" s="431">
        <v>40991</v>
      </c>
      <c r="AB217" s="431"/>
      <c r="AC217" s="431">
        <v>40899</v>
      </c>
      <c r="AD217" s="431"/>
      <c r="AE217" s="431"/>
      <c r="AF217" s="431"/>
      <c r="AG217" s="420"/>
      <c r="AH217" s="432">
        <v>1.9339999999999999</v>
      </c>
      <c r="AI217" s="422">
        <f>12532/AH217</f>
        <v>6479.8345398138572</v>
      </c>
      <c r="AJ217" s="420"/>
      <c r="AK217" s="420"/>
      <c r="AL217" s="420"/>
      <c r="AM217" s="420"/>
      <c r="AN217" s="420"/>
      <c r="AO217" s="445"/>
      <c r="AP217" s="463"/>
      <c r="AQ217" s="466"/>
    </row>
    <row r="218" spans="1:48" s="474" customFormat="1" ht="12.75" customHeight="1">
      <c r="A218" s="467" t="s">
        <v>3001</v>
      </c>
      <c r="B218" s="468" t="s">
        <v>4031</v>
      </c>
      <c r="C218" s="445" t="s">
        <v>3007</v>
      </c>
      <c r="D218" s="449" t="s">
        <v>847</v>
      </c>
      <c r="E218" s="445" t="s">
        <v>2995</v>
      </c>
      <c r="F218" s="420">
        <v>1</v>
      </c>
      <c r="G218" s="420"/>
      <c r="H218" s="421" t="s">
        <v>968</v>
      </c>
      <c r="I218" s="471" t="s">
        <v>845</v>
      </c>
      <c r="J218" s="420" t="s">
        <v>346</v>
      </c>
      <c r="K218" s="490" t="s">
        <v>842</v>
      </c>
      <c r="L218" s="422">
        <v>90.293999999999997</v>
      </c>
      <c r="M218" s="423">
        <v>30</v>
      </c>
      <c r="N218" s="444">
        <v>39962</v>
      </c>
      <c r="O218" s="424">
        <v>324.56299999999999</v>
      </c>
      <c r="P218" s="513" t="s">
        <v>1084</v>
      </c>
      <c r="Q218" s="422">
        <f>244.175</f>
        <v>244.17500000000001</v>
      </c>
      <c r="R218" s="425"/>
      <c r="S218" s="425"/>
      <c r="T218" s="881"/>
      <c r="U218" s="397">
        <v>41274</v>
      </c>
      <c r="V218" s="425">
        <v>248.78326680427847</v>
      </c>
      <c r="W218" s="400">
        <f>Q218/V218</f>
        <v>0.98147678152363904</v>
      </c>
      <c r="X218" s="967" t="s">
        <v>1084</v>
      </c>
      <c r="Y218" s="419" t="s">
        <v>674</v>
      </c>
      <c r="Z218" s="445" t="s">
        <v>2996</v>
      </c>
      <c r="AA218" s="431">
        <v>40995</v>
      </c>
      <c r="AB218" s="431"/>
      <c r="AC218" s="431">
        <v>40899</v>
      </c>
      <c r="AD218" s="431"/>
      <c r="AE218" s="431"/>
      <c r="AF218" s="431"/>
      <c r="AG218" s="420"/>
      <c r="AH218" s="420">
        <v>0</v>
      </c>
      <c r="AI218" s="420"/>
      <c r="AJ218" s="420"/>
      <c r="AK218" s="420"/>
      <c r="AL218" s="420"/>
      <c r="AM218" s="420"/>
      <c r="AN218" s="420"/>
      <c r="AO218" s="445"/>
      <c r="AP218" s="463"/>
      <c r="AQ218" s="466"/>
    </row>
    <row r="219" spans="1:48" s="474" customFormat="1" ht="12.75" customHeight="1">
      <c r="A219" s="51" t="s">
        <v>759</v>
      </c>
      <c r="B219" s="468" t="s">
        <v>4032</v>
      </c>
      <c r="C219" s="445" t="s">
        <v>3827</v>
      </c>
      <c r="D219" s="420" t="s">
        <v>847</v>
      </c>
      <c r="E219" s="419" t="s">
        <v>3829</v>
      </c>
      <c r="F219" s="420">
        <v>1</v>
      </c>
      <c r="G219" s="449" t="s">
        <v>3826</v>
      </c>
      <c r="H219" s="1034" t="s">
        <v>968</v>
      </c>
      <c r="I219" s="471" t="s">
        <v>845</v>
      </c>
      <c r="J219" s="420" t="s">
        <v>346</v>
      </c>
      <c r="K219" s="421" t="s">
        <v>842</v>
      </c>
      <c r="L219" s="422">
        <v>42.526000000000003</v>
      </c>
      <c r="M219" s="423">
        <v>0</v>
      </c>
      <c r="N219" s="444">
        <v>40725</v>
      </c>
      <c r="O219" s="424">
        <v>63.784999999999997</v>
      </c>
      <c r="P219" s="419" t="s">
        <v>1314</v>
      </c>
      <c r="Q219" s="422"/>
      <c r="R219" s="419"/>
      <c r="S219" s="419"/>
      <c r="T219" s="881"/>
      <c r="U219" s="444"/>
      <c r="V219" s="425"/>
      <c r="W219" s="427"/>
      <c r="X219" s="543"/>
      <c r="Y219" s="419" t="s">
        <v>650</v>
      </c>
      <c r="Z219" s="419" t="s">
        <v>3828</v>
      </c>
      <c r="AA219" s="430">
        <v>39640</v>
      </c>
      <c r="AB219" s="430">
        <v>41261</v>
      </c>
      <c r="AC219" s="431">
        <v>41255</v>
      </c>
      <c r="AD219" s="431"/>
      <c r="AE219" s="431"/>
      <c r="AF219" s="431"/>
      <c r="AG219" s="432"/>
      <c r="AH219" s="432">
        <v>3.9</v>
      </c>
      <c r="AI219" s="422">
        <f>18480/AH219</f>
        <v>4738.461538461539</v>
      </c>
      <c r="AJ219" s="432"/>
      <c r="AK219" s="432"/>
      <c r="AL219" s="432"/>
      <c r="AM219" s="432"/>
      <c r="AN219" s="432">
        <f>L219</f>
        <v>42.526000000000003</v>
      </c>
      <c r="AO219" s="419"/>
      <c r="AP219" s="463"/>
      <c r="AQ219" s="51"/>
    </row>
    <row r="220" spans="1:48" s="474" customFormat="1" ht="15.75" customHeight="1">
      <c r="A220" s="467" t="s">
        <v>3859</v>
      </c>
      <c r="B220" s="468" t="s">
        <v>3962</v>
      </c>
      <c r="C220" s="445" t="s">
        <v>3745</v>
      </c>
      <c r="D220" s="449" t="s">
        <v>847</v>
      </c>
      <c r="E220" s="445" t="s">
        <v>2995</v>
      </c>
      <c r="F220" s="420">
        <v>1</v>
      </c>
      <c r="G220" s="420"/>
      <c r="H220" s="421" t="s">
        <v>968</v>
      </c>
      <c r="I220" s="471" t="s">
        <v>845</v>
      </c>
      <c r="J220" s="420" t="s">
        <v>346</v>
      </c>
      <c r="K220" s="450" t="s">
        <v>2001</v>
      </c>
      <c r="L220" s="422">
        <v>99.221000000000004</v>
      </c>
      <c r="M220" s="423">
        <v>0</v>
      </c>
      <c r="N220" s="444">
        <v>40787</v>
      </c>
      <c r="O220" s="424">
        <v>132.29499999999999</v>
      </c>
      <c r="P220" s="507" t="s">
        <v>1084</v>
      </c>
      <c r="Q220" s="422">
        <f>100.959</f>
        <v>100.959</v>
      </c>
      <c r="R220" s="419"/>
      <c r="S220" s="419"/>
      <c r="T220" s="881"/>
      <c r="U220" s="397">
        <v>41274</v>
      </c>
      <c r="V220" s="425">
        <v>132.38527945205479</v>
      </c>
      <c r="W220" s="400">
        <f>Q220/V220</f>
        <v>0.76261500083597844</v>
      </c>
      <c r="X220" s="967" t="s">
        <v>1084</v>
      </c>
      <c r="Y220" s="391" t="s">
        <v>650</v>
      </c>
      <c r="Z220" s="419" t="s">
        <v>1057</v>
      </c>
      <c r="AA220" s="430">
        <v>41261</v>
      </c>
      <c r="AB220" s="430"/>
      <c r="AC220" s="431">
        <v>41255</v>
      </c>
      <c r="AD220" s="431"/>
      <c r="AE220" s="431"/>
      <c r="AF220" s="431"/>
      <c r="AG220" s="432"/>
      <c r="AH220" s="432">
        <v>4.3</v>
      </c>
      <c r="AI220" s="422">
        <f>32250/AH220</f>
        <v>7500</v>
      </c>
      <c r="AJ220" s="827"/>
      <c r="AK220" s="432"/>
      <c r="AL220" s="432"/>
      <c r="AM220" s="432"/>
      <c r="AN220" s="432"/>
      <c r="AO220" s="419"/>
      <c r="AP220" s="463"/>
      <c r="AQ220" s="782"/>
    </row>
    <row r="221" spans="1:48" s="474" customFormat="1" ht="12.75" customHeight="1">
      <c r="A221" s="467" t="s">
        <v>3861</v>
      </c>
      <c r="B221" s="468" t="s">
        <v>3961</v>
      </c>
      <c r="C221" s="445" t="s">
        <v>3747</v>
      </c>
      <c r="D221" s="449" t="s">
        <v>847</v>
      </c>
      <c r="E221" s="445" t="s">
        <v>2995</v>
      </c>
      <c r="F221" s="420">
        <v>1</v>
      </c>
      <c r="G221" s="420"/>
      <c r="H221" s="421" t="s">
        <v>968</v>
      </c>
      <c r="I221" s="471" t="s">
        <v>845</v>
      </c>
      <c r="J221" s="420" t="s">
        <v>346</v>
      </c>
      <c r="K221" s="450" t="s">
        <v>2001</v>
      </c>
      <c r="L221" s="422">
        <f>O221/3</f>
        <v>38.997666666666667</v>
      </c>
      <c r="M221" s="423">
        <v>0</v>
      </c>
      <c r="N221" s="444">
        <v>40179</v>
      </c>
      <c r="O221" s="424">
        <v>116.99299999999999</v>
      </c>
      <c r="P221" s="507" t="s">
        <v>1084</v>
      </c>
      <c r="Q221" s="422">
        <v>92.01</v>
      </c>
      <c r="R221" s="419"/>
      <c r="S221" s="419"/>
      <c r="T221" s="881"/>
      <c r="U221" s="397">
        <v>41274</v>
      </c>
      <c r="V221" s="425">
        <v>116.99299999999999</v>
      </c>
      <c r="W221" s="400">
        <f>Q221/V221</f>
        <v>0.78645730941167424</v>
      </c>
      <c r="X221" s="967" t="s">
        <v>1084</v>
      </c>
      <c r="Y221" s="391" t="s">
        <v>650</v>
      </c>
      <c r="Z221" s="419" t="s">
        <v>1057</v>
      </c>
      <c r="AA221" s="430">
        <v>41263</v>
      </c>
      <c r="AB221" s="430"/>
      <c r="AC221" s="431">
        <v>41255</v>
      </c>
      <c r="AD221" s="431"/>
      <c r="AE221" s="431"/>
      <c r="AF221" s="431"/>
      <c r="AG221" s="432"/>
      <c r="AH221" s="432">
        <v>0</v>
      </c>
      <c r="AI221" s="422"/>
      <c r="AJ221" s="827"/>
      <c r="AK221" s="432"/>
      <c r="AL221" s="432"/>
      <c r="AM221" s="432"/>
      <c r="AN221" s="432"/>
      <c r="AO221" s="419"/>
      <c r="AP221" s="463"/>
      <c r="AQ221" s="782"/>
      <c r="AR221" s="820"/>
      <c r="AS221" s="820"/>
      <c r="AT221" s="820"/>
      <c r="AU221" s="820"/>
      <c r="AV221" s="464"/>
    </row>
    <row r="222" spans="1:48" s="474" customFormat="1" ht="12.75" customHeight="1">
      <c r="A222" s="467" t="s">
        <v>3860</v>
      </c>
      <c r="B222" s="468" t="s">
        <v>3963</v>
      </c>
      <c r="C222" s="445" t="s">
        <v>3746</v>
      </c>
      <c r="D222" s="449" t="s">
        <v>847</v>
      </c>
      <c r="E222" s="445" t="s">
        <v>2995</v>
      </c>
      <c r="F222" s="420">
        <v>1</v>
      </c>
      <c r="G222" s="420"/>
      <c r="H222" s="421" t="s">
        <v>968</v>
      </c>
      <c r="I222" s="471" t="s">
        <v>845</v>
      </c>
      <c r="J222" s="420" t="s">
        <v>346</v>
      </c>
      <c r="K222" s="450" t="s">
        <v>2001</v>
      </c>
      <c r="L222" s="422">
        <f>O222*2</f>
        <v>56.612000000000002</v>
      </c>
      <c r="M222" s="423">
        <v>0</v>
      </c>
      <c r="N222" s="444">
        <v>41091</v>
      </c>
      <c r="O222" s="424">
        <v>28.306000000000001</v>
      </c>
      <c r="P222" s="507" t="s">
        <v>1084</v>
      </c>
      <c r="Q222" s="422"/>
      <c r="R222" s="419"/>
      <c r="S222" s="419"/>
      <c r="T222" s="881"/>
      <c r="U222" s="444"/>
      <c r="V222" s="425"/>
      <c r="W222" s="400"/>
      <c r="X222" s="967"/>
      <c r="Y222" s="391" t="s">
        <v>650</v>
      </c>
      <c r="Z222" s="419" t="s">
        <v>1057</v>
      </c>
      <c r="AA222" s="430">
        <v>41261</v>
      </c>
      <c r="AB222" s="430"/>
      <c r="AC222" s="431">
        <v>41255</v>
      </c>
      <c r="AD222" s="431"/>
      <c r="AE222" s="431"/>
      <c r="AF222" s="431"/>
      <c r="AG222" s="432"/>
      <c r="AH222" s="827"/>
      <c r="AI222" s="422"/>
      <c r="AJ222" s="827"/>
      <c r="AK222" s="432"/>
      <c r="AL222" s="432"/>
      <c r="AM222" s="432"/>
      <c r="AN222" s="432"/>
      <c r="AO222" s="419"/>
      <c r="AP222" s="463"/>
      <c r="AQ222" s="782"/>
    </row>
    <row r="223" spans="1:48" s="474" customFormat="1" ht="12.75" customHeight="1">
      <c r="A223" s="467" t="s">
        <v>3965</v>
      </c>
      <c r="B223" s="489" t="s">
        <v>4016</v>
      </c>
      <c r="C223" s="445" t="s">
        <v>3978</v>
      </c>
      <c r="D223" s="449" t="s">
        <v>847</v>
      </c>
      <c r="E223" s="419" t="s">
        <v>2995</v>
      </c>
      <c r="F223" s="420">
        <v>1</v>
      </c>
      <c r="G223" s="420"/>
      <c r="H223" s="421" t="s">
        <v>968</v>
      </c>
      <c r="I223" s="471" t="s">
        <v>845</v>
      </c>
      <c r="J223" s="420" t="s">
        <v>346</v>
      </c>
      <c r="K223" s="450" t="s">
        <v>842</v>
      </c>
      <c r="L223" s="422">
        <f>O223/5</f>
        <v>9.891</v>
      </c>
      <c r="M223" s="423">
        <v>0</v>
      </c>
      <c r="N223" s="444">
        <v>39448</v>
      </c>
      <c r="O223" s="424">
        <v>49.454999999999998</v>
      </c>
      <c r="P223" s="419" t="s">
        <v>1084</v>
      </c>
      <c r="Q223" s="422">
        <f>44.352</f>
        <v>44.351999999999997</v>
      </c>
      <c r="R223" s="419"/>
      <c r="S223" s="419"/>
      <c r="T223" s="881"/>
      <c r="U223" s="397">
        <v>41274</v>
      </c>
      <c r="V223" s="425">
        <v>49.482098630136989</v>
      </c>
      <c r="W223" s="400">
        <f t="shared" ref="W223:W234" si="15">Q223/V223</f>
        <v>0.896324150103599</v>
      </c>
      <c r="X223" s="967" t="s">
        <v>1084</v>
      </c>
      <c r="Y223" s="391" t="s">
        <v>650</v>
      </c>
      <c r="Z223" s="419" t="s">
        <v>1057</v>
      </c>
      <c r="AA223" s="430">
        <v>41277</v>
      </c>
      <c r="AB223" s="430"/>
      <c r="AC223" s="431">
        <v>41267</v>
      </c>
      <c r="AD223" s="431"/>
      <c r="AE223" s="431"/>
      <c r="AF223" s="431"/>
      <c r="AG223" s="432"/>
      <c r="AH223" s="432">
        <v>3.9660000000000002</v>
      </c>
      <c r="AI223" s="422">
        <f>29682/AH223</f>
        <v>7484.1149773071102</v>
      </c>
      <c r="AJ223" s="827"/>
      <c r="AK223" s="432"/>
      <c r="AL223" s="432"/>
      <c r="AM223" s="432"/>
      <c r="AN223" s="432"/>
      <c r="AO223" s="419"/>
      <c r="AP223" s="463"/>
      <c r="AQ223" s="782"/>
    </row>
    <row r="224" spans="1:48" s="474" customFormat="1" ht="12.75" customHeight="1">
      <c r="A224" s="467" t="s">
        <v>3944</v>
      </c>
      <c r="B224" s="489" t="s">
        <v>4017</v>
      </c>
      <c r="C224" s="445" t="s">
        <v>3977</v>
      </c>
      <c r="D224" s="449" t="s">
        <v>847</v>
      </c>
      <c r="E224" s="419" t="s">
        <v>2995</v>
      </c>
      <c r="F224" s="420">
        <v>1</v>
      </c>
      <c r="G224" s="420"/>
      <c r="H224" s="421" t="s">
        <v>968</v>
      </c>
      <c r="I224" s="471" t="s">
        <v>845</v>
      </c>
      <c r="J224" s="420" t="s">
        <v>346</v>
      </c>
      <c r="K224" s="450" t="s">
        <v>842</v>
      </c>
      <c r="L224" s="422">
        <f>O224/5</f>
        <v>11.376799999999999</v>
      </c>
      <c r="M224" s="423">
        <v>0</v>
      </c>
      <c r="N224" s="444">
        <v>39448</v>
      </c>
      <c r="O224" s="424">
        <v>56.884</v>
      </c>
      <c r="P224" s="419" t="s">
        <v>1084</v>
      </c>
      <c r="Q224" s="422">
        <f>47.421</f>
        <v>47.420999999999999</v>
      </c>
      <c r="R224" s="419"/>
      <c r="S224" s="419"/>
      <c r="T224" s="881"/>
      <c r="U224" s="397">
        <v>41274</v>
      </c>
      <c r="V224" s="425">
        <v>56.915169315068489</v>
      </c>
      <c r="W224" s="400">
        <f t="shared" si="15"/>
        <v>0.8331873658758514</v>
      </c>
      <c r="X224" s="967" t="s">
        <v>1084</v>
      </c>
      <c r="Y224" s="391" t="s">
        <v>650</v>
      </c>
      <c r="Z224" s="419" t="s">
        <v>1057</v>
      </c>
      <c r="AA224" s="430">
        <v>41277</v>
      </c>
      <c r="AB224" s="430"/>
      <c r="AC224" s="431">
        <v>41267</v>
      </c>
      <c r="AD224" s="431"/>
      <c r="AE224" s="431"/>
      <c r="AF224" s="431"/>
      <c r="AG224" s="432"/>
      <c r="AH224" s="432">
        <f>3*1.666</f>
        <v>4.9979999999999993</v>
      </c>
      <c r="AI224" s="422">
        <f>37984.8/AH224</f>
        <v>7600.0000000000018</v>
      </c>
      <c r="AJ224" s="827"/>
      <c r="AK224" s="432"/>
      <c r="AL224" s="432"/>
      <c r="AM224" s="432"/>
      <c r="AN224" s="432"/>
      <c r="AO224" s="419"/>
      <c r="AP224" s="463"/>
      <c r="AQ224" s="782"/>
      <c r="AR224" s="464"/>
      <c r="AS224" s="464"/>
      <c r="AT224" s="464"/>
      <c r="AU224" s="464"/>
      <c r="AV224" s="464"/>
    </row>
    <row r="225" spans="1:48" s="474" customFormat="1" ht="12.75" customHeight="1">
      <c r="A225" s="467" t="s">
        <v>3941</v>
      </c>
      <c r="B225" s="489" t="s">
        <v>4018</v>
      </c>
      <c r="C225" s="445" t="s">
        <v>3976</v>
      </c>
      <c r="D225" s="449" t="s">
        <v>847</v>
      </c>
      <c r="E225" s="419" t="s">
        <v>2995</v>
      </c>
      <c r="F225" s="420">
        <v>1</v>
      </c>
      <c r="G225" s="420"/>
      <c r="H225" s="421" t="s">
        <v>968</v>
      </c>
      <c r="I225" s="471" t="s">
        <v>845</v>
      </c>
      <c r="J225" s="420" t="s">
        <v>346</v>
      </c>
      <c r="K225" s="450" t="s">
        <v>842</v>
      </c>
      <c r="L225" s="422">
        <f>O225/5</f>
        <v>15.022</v>
      </c>
      <c r="M225" s="423">
        <v>0</v>
      </c>
      <c r="N225" s="444">
        <v>39448</v>
      </c>
      <c r="O225" s="424">
        <v>75.11</v>
      </c>
      <c r="P225" s="419" t="s">
        <v>1084</v>
      </c>
      <c r="Q225" s="422">
        <f>61.657</f>
        <v>61.656999999999996</v>
      </c>
      <c r="R225" s="419"/>
      <c r="S225" s="419"/>
      <c r="T225" s="881"/>
      <c r="U225" s="397">
        <v>41274</v>
      </c>
      <c r="V225" s="425">
        <v>75.151156164383565</v>
      </c>
      <c r="W225" s="400">
        <f t="shared" si="15"/>
        <v>0.82043980621047496</v>
      </c>
      <c r="X225" s="967" t="s">
        <v>1084</v>
      </c>
      <c r="Y225" s="391" t="s">
        <v>650</v>
      </c>
      <c r="Z225" s="419" t="s">
        <v>1057</v>
      </c>
      <c r="AA225" s="430">
        <v>41277</v>
      </c>
      <c r="AB225" s="430"/>
      <c r="AC225" s="431">
        <v>41271</v>
      </c>
      <c r="AD225" s="431"/>
      <c r="AE225" s="431"/>
      <c r="AF225" s="431"/>
      <c r="AG225" s="432"/>
      <c r="AH225" s="432">
        <f>2*3.535</f>
        <v>7.07</v>
      </c>
      <c r="AI225" s="422">
        <f>26512/AH225</f>
        <v>3749.9292786421497</v>
      </c>
      <c r="AJ225" s="827"/>
      <c r="AK225" s="432"/>
      <c r="AL225" s="432"/>
      <c r="AM225" s="432"/>
      <c r="AN225" s="432"/>
      <c r="AO225" s="419"/>
      <c r="AP225" s="463"/>
      <c r="AQ225" s="782"/>
    </row>
    <row r="226" spans="1:48" s="474" customFormat="1" ht="12.75" customHeight="1">
      <c r="A226" s="467" t="s">
        <v>3971</v>
      </c>
      <c r="B226" s="489" t="s">
        <v>4019</v>
      </c>
      <c r="C226" s="445" t="s">
        <v>3995</v>
      </c>
      <c r="D226" s="449" t="s">
        <v>847</v>
      </c>
      <c r="E226" s="445" t="s">
        <v>3992</v>
      </c>
      <c r="F226" s="420">
        <v>1</v>
      </c>
      <c r="G226" s="420"/>
      <c r="H226" s="421" t="s">
        <v>968</v>
      </c>
      <c r="I226" s="455" t="s">
        <v>970</v>
      </c>
      <c r="J226" s="449" t="s">
        <v>970</v>
      </c>
      <c r="K226" s="450" t="s">
        <v>2001</v>
      </c>
      <c r="L226" s="422">
        <f>O226/3.6</f>
        <v>76.166388888888889</v>
      </c>
      <c r="M226" s="423">
        <v>0</v>
      </c>
      <c r="N226" s="865">
        <v>39943</v>
      </c>
      <c r="O226" s="424">
        <v>274.19900000000001</v>
      </c>
      <c r="P226" s="419" t="s">
        <v>1084</v>
      </c>
      <c r="Q226" s="422">
        <f>272.936</f>
        <v>272.93599999999998</v>
      </c>
      <c r="R226" s="419"/>
      <c r="S226" s="419"/>
      <c r="T226" s="881"/>
      <c r="U226" s="397">
        <v>41274</v>
      </c>
      <c r="V226" s="425">
        <v>277.74647564687973</v>
      </c>
      <c r="W226" s="400">
        <f t="shared" si="15"/>
        <v>0.98268033595862558</v>
      </c>
      <c r="X226" s="967" t="s">
        <v>1084</v>
      </c>
      <c r="Y226" s="445" t="s">
        <v>558</v>
      </c>
      <c r="Z226" s="445" t="s">
        <v>3989</v>
      </c>
      <c r="AA226" s="430">
        <v>41281</v>
      </c>
      <c r="AB226" s="430"/>
      <c r="AC226" s="431">
        <v>41271</v>
      </c>
      <c r="AD226" s="431"/>
      <c r="AE226" s="431"/>
      <c r="AF226" s="431"/>
      <c r="AG226" s="432"/>
      <c r="AH226" s="917">
        <f>16*2</f>
        <v>32</v>
      </c>
      <c r="AI226" s="422">
        <f>94513/AH226</f>
        <v>2953.53125</v>
      </c>
      <c r="AJ226" s="827"/>
      <c r="AK226" s="432"/>
      <c r="AL226" s="422"/>
      <c r="AM226" s="432"/>
      <c r="AN226" s="432"/>
      <c r="AO226" s="445" t="s">
        <v>3993</v>
      </c>
      <c r="AP226" s="463"/>
      <c r="AQ226" s="782"/>
    </row>
    <row r="227" spans="1:48" s="474" customFormat="1" ht="12.75" customHeight="1">
      <c r="A227" s="467" t="s">
        <v>3970</v>
      </c>
      <c r="B227" s="489" t="s">
        <v>4021</v>
      </c>
      <c r="C227" s="445" t="s">
        <v>3990</v>
      </c>
      <c r="D227" s="449" t="s">
        <v>847</v>
      </c>
      <c r="E227" s="445" t="s">
        <v>3992</v>
      </c>
      <c r="F227" s="420">
        <v>1</v>
      </c>
      <c r="G227" s="420"/>
      <c r="H227" s="421" t="s">
        <v>968</v>
      </c>
      <c r="I227" s="455" t="s">
        <v>970</v>
      </c>
      <c r="J227" s="449" t="s">
        <v>970</v>
      </c>
      <c r="K227" s="450" t="s">
        <v>2001</v>
      </c>
      <c r="L227" s="422">
        <f>O227/3.5</f>
        <v>62.688285714285712</v>
      </c>
      <c r="M227" s="423">
        <v>10</v>
      </c>
      <c r="N227" s="865">
        <v>39995</v>
      </c>
      <c r="O227" s="424">
        <v>219.40899999999999</v>
      </c>
      <c r="P227" s="419" t="s">
        <v>1084</v>
      </c>
      <c r="Q227" s="422">
        <f>207.374</f>
        <v>207.374</v>
      </c>
      <c r="R227" s="419"/>
      <c r="S227" s="419"/>
      <c r="T227" s="881"/>
      <c r="U227" s="397">
        <v>41274</v>
      </c>
      <c r="V227" s="425">
        <v>193.45780342599789</v>
      </c>
      <c r="W227" s="400">
        <f t="shared" si="15"/>
        <v>1.0719340152092927</v>
      </c>
      <c r="X227" s="967" t="s">
        <v>1084</v>
      </c>
      <c r="Y227" s="445" t="s">
        <v>558</v>
      </c>
      <c r="Z227" s="445" t="s">
        <v>3989</v>
      </c>
      <c r="AA227" s="430">
        <v>41281</v>
      </c>
      <c r="AB227" s="430"/>
      <c r="AC227" s="431">
        <v>41271</v>
      </c>
      <c r="AD227" s="431"/>
      <c r="AE227" s="431"/>
      <c r="AF227" s="431"/>
      <c r="AG227" s="432"/>
      <c r="AH227" s="917">
        <f>17*2</f>
        <v>34</v>
      </c>
      <c r="AI227" s="422">
        <f>90567/AH227</f>
        <v>2663.7352941176468</v>
      </c>
      <c r="AJ227" s="827"/>
      <c r="AK227" s="432"/>
      <c r="AL227" s="422"/>
      <c r="AM227" s="432"/>
      <c r="AN227" s="432"/>
      <c r="AO227" s="445" t="s">
        <v>3993</v>
      </c>
      <c r="AP227" s="463"/>
      <c r="AQ227" s="782"/>
    </row>
    <row r="228" spans="1:48" s="474" customFormat="1" ht="12.75" customHeight="1">
      <c r="A228" s="467" t="s">
        <v>3969</v>
      </c>
      <c r="B228" s="489" t="s">
        <v>4022</v>
      </c>
      <c r="C228" s="445" t="s">
        <v>3988</v>
      </c>
      <c r="D228" s="449" t="s">
        <v>847</v>
      </c>
      <c r="E228" s="445" t="s">
        <v>1273</v>
      </c>
      <c r="F228" s="420">
        <v>1</v>
      </c>
      <c r="G228" s="420"/>
      <c r="H228" s="421" t="s">
        <v>968</v>
      </c>
      <c r="I228" s="455" t="s">
        <v>970</v>
      </c>
      <c r="J228" s="445" t="s">
        <v>970</v>
      </c>
      <c r="K228" s="450" t="s">
        <v>2001</v>
      </c>
      <c r="L228" s="422">
        <f>O228/2.19</f>
        <v>95.094520547945208</v>
      </c>
      <c r="M228" s="423">
        <v>10</v>
      </c>
      <c r="N228" s="865">
        <v>40474</v>
      </c>
      <c r="O228" s="424">
        <v>208.25700000000001</v>
      </c>
      <c r="P228" s="419" t="s">
        <v>1084</v>
      </c>
      <c r="Q228" s="422">
        <f>186.004</f>
        <v>186.00399999999999</v>
      </c>
      <c r="R228" s="419"/>
      <c r="S228" s="419"/>
      <c r="T228" s="881"/>
      <c r="U228" s="397">
        <v>41274</v>
      </c>
      <c r="V228" s="425">
        <v>177.65134171514356</v>
      </c>
      <c r="W228" s="400">
        <f t="shared" si="15"/>
        <v>1.0470171415775151</v>
      </c>
      <c r="X228" s="967" t="s">
        <v>1084</v>
      </c>
      <c r="Y228" s="445" t="s">
        <v>558</v>
      </c>
      <c r="Z228" s="445" t="s">
        <v>3989</v>
      </c>
      <c r="AA228" s="430">
        <v>41281</v>
      </c>
      <c r="AB228" s="430"/>
      <c r="AC228" s="431">
        <v>41271</v>
      </c>
      <c r="AD228" s="431"/>
      <c r="AE228" s="431"/>
      <c r="AF228" s="431"/>
      <c r="AG228" s="432"/>
      <c r="AH228" s="917">
        <f>16*3</f>
        <v>48</v>
      </c>
      <c r="AI228" s="422">
        <f>116000/AH228</f>
        <v>2416.6666666666665</v>
      </c>
      <c r="AJ228" s="432">
        <f>103.604193/Exch!B11</f>
        <v>122.70243424197361</v>
      </c>
      <c r="AK228" s="432">
        <f>AJ228*1000/L228</f>
        <v>1290.3207622789255</v>
      </c>
      <c r="AL228" s="422">
        <f>AJ228*1000/AH228</f>
        <v>2556.30071337445</v>
      </c>
      <c r="AM228" s="432"/>
      <c r="AN228" s="432"/>
      <c r="AO228" s="445" t="s">
        <v>3994</v>
      </c>
      <c r="AP228" s="463"/>
      <c r="AQ228" s="782"/>
    </row>
    <row r="229" spans="1:48" s="474" customFormat="1" ht="12.75" customHeight="1">
      <c r="A229" s="467" t="s">
        <v>3972</v>
      </c>
      <c r="B229" s="489" t="s">
        <v>4020</v>
      </c>
      <c r="C229" s="445" t="s">
        <v>3996</v>
      </c>
      <c r="D229" s="449" t="s">
        <v>847</v>
      </c>
      <c r="E229" s="445" t="s">
        <v>465</v>
      </c>
      <c r="F229" s="420">
        <v>1</v>
      </c>
      <c r="G229" s="420"/>
      <c r="H229" s="421" t="s">
        <v>968</v>
      </c>
      <c r="I229" s="450" t="s">
        <v>970</v>
      </c>
      <c r="J229" s="445" t="s">
        <v>970</v>
      </c>
      <c r="K229" s="450" t="s">
        <v>2001</v>
      </c>
      <c r="L229" s="422">
        <f>O229/3</f>
        <v>49.312000000000005</v>
      </c>
      <c r="M229" s="423">
        <v>0</v>
      </c>
      <c r="N229" s="865">
        <v>40150</v>
      </c>
      <c r="O229" s="424">
        <v>147.93600000000001</v>
      </c>
      <c r="P229" s="419" t="s">
        <v>1084</v>
      </c>
      <c r="Q229" s="422">
        <f>126.331</f>
        <v>126.331</v>
      </c>
      <c r="R229" s="419"/>
      <c r="S229" s="419"/>
      <c r="T229" s="881"/>
      <c r="U229" s="397">
        <v>41274</v>
      </c>
      <c r="V229" s="425">
        <v>151.85393972602739</v>
      </c>
      <c r="W229" s="400">
        <f t="shared" si="15"/>
        <v>0.83192441518425209</v>
      </c>
      <c r="X229" s="967" t="s">
        <v>1084</v>
      </c>
      <c r="Y229" s="445" t="s">
        <v>558</v>
      </c>
      <c r="Z229" s="445" t="s">
        <v>3989</v>
      </c>
      <c r="AA229" s="430">
        <v>41281</v>
      </c>
      <c r="AB229" s="430"/>
      <c r="AC229" s="431">
        <v>41271</v>
      </c>
      <c r="AD229" s="431"/>
      <c r="AE229" s="431"/>
      <c r="AF229" s="431"/>
      <c r="AG229" s="432"/>
      <c r="AH229" s="917">
        <f>16*2</f>
        <v>32</v>
      </c>
      <c r="AI229" s="422">
        <f>81645/AH229</f>
        <v>2551.40625</v>
      </c>
      <c r="AJ229" s="827"/>
      <c r="AK229" s="432"/>
      <c r="AL229" s="422"/>
      <c r="AM229" s="432"/>
      <c r="AN229" s="432"/>
      <c r="AO229" s="445" t="s">
        <v>3993</v>
      </c>
      <c r="AP229" s="463"/>
      <c r="AQ229" s="782"/>
    </row>
    <row r="230" spans="1:48" s="474" customFormat="1" ht="12.75" customHeight="1">
      <c r="A230" s="467" t="s">
        <v>3968</v>
      </c>
      <c r="B230" s="468" t="s">
        <v>4042</v>
      </c>
      <c r="C230" s="445" t="s">
        <v>3984</v>
      </c>
      <c r="D230" s="449" t="s">
        <v>847</v>
      </c>
      <c r="E230" s="445" t="s">
        <v>3986</v>
      </c>
      <c r="F230" s="420">
        <v>1</v>
      </c>
      <c r="G230" s="420"/>
      <c r="H230" s="421" t="s">
        <v>968</v>
      </c>
      <c r="I230" s="455" t="s">
        <v>970</v>
      </c>
      <c r="J230" s="449" t="s">
        <v>970</v>
      </c>
      <c r="K230" s="450" t="s">
        <v>839</v>
      </c>
      <c r="L230" s="422">
        <f>O230/5</f>
        <v>9.7108000000000008</v>
      </c>
      <c r="M230" s="423">
        <v>2</v>
      </c>
      <c r="N230" s="444">
        <v>39448</v>
      </c>
      <c r="O230" s="424">
        <v>48.554000000000002</v>
      </c>
      <c r="P230" s="419" t="s">
        <v>1084</v>
      </c>
      <c r="Q230" s="422">
        <f>45.928</f>
        <v>45.927999999999997</v>
      </c>
      <c r="R230" s="419"/>
      <c r="S230" s="419"/>
      <c r="T230" s="881"/>
      <c r="U230" s="397">
        <v>41274</v>
      </c>
      <c r="V230" s="425">
        <v>48.594311067742552</v>
      </c>
      <c r="W230" s="400">
        <f t="shared" si="15"/>
        <v>0.94513120961781716</v>
      </c>
      <c r="X230" s="967" t="s">
        <v>1084</v>
      </c>
      <c r="Y230" s="445" t="s">
        <v>3985</v>
      </c>
      <c r="Z230" s="445" t="s">
        <v>3987</v>
      </c>
      <c r="AA230" s="430">
        <v>41278</v>
      </c>
      <c r="AB230" s="430"/>
      <c r="AC230" s="431">
        <v>41274</v>
      </c>
      <c r="AD230" s="431"/>
      <c r="AE230" s="431"/>
      <c r="AF230" s="431"/>
      <c r="AG230" s="432"/>
      <c r="AH230" s="432">
        <f>4*0.8+0.8+1.5+0.8+ (0.8+2)</f>
        <v>9.1</v>
      </c>
      <c r="AI230" s="422">
        <f>21660/AH230</f>
        <v>2380.2197802197802</v>
      </c>
      <c r="AJ230" s="827"/>
      <c r="AK230" s="432"/>
      <c r="AL230" s="432"/>
      <c r="AM230" s="432"/>
      <c r="AN230" s="432"/>
      <c r="AO230" s="419"/>
      <c r="AP230" s="463"/>
      <c r="AQ230" s="782"/>
    </row>
    <row r="231" spans="1:48" s="474" customFormat="1" ht="12.75" customHeight="1">
      <c r="A231" s="467" t="s">
        <v>3991</v>
      </c>
      <c r="B231" s="468" t="s">
        <v>4065</v>
      </c>
      <c r="C231" s="445" t="s">
        <v>3997</v>
      </c>
      <c r="D231" s="449" t="s">
        <v>847</v>
      </c>
      <c r="E231" s="445" t="s">
        <v>1627</v>
      </c>
      <c r="F231" s="420">
        <v>1</v>
      </c>
      <c r="G231" s="420"/>
      <c r="H231" s="421" t="s">
        <v>968</v>
      </c>
      <c r="I231" s="455" t="s">
        <v>970</v>
      </c>
      <c r="J231" s="449" t="s">
        <v>970</v>
      </c>
      <c r="K231" s="450" t="s">
        <v>2001</v>
      </c>
      <c r="L231" s="422">
        <f>O231/4.5</f>
        <v>79.641555555555556</v>
      </c>
      <c r="M231" s="423">
        <v>0</v>
      </c>
      <c r="N231" s="444">
        <v>39619</v>
      </c>
      <c r="O231" s="424">
        <v>358.387</v>
      </c>
      <c r="P231" s="513" t="s">
        <v>1084</v>
      </c>
      <c r="Q231" s="422">
        <f>296.423</f>
        <v>296.423</v>
      </c>
      <c r="R231" s="419"/>
      <c r="S231" s="419"/>
      <c r="T231" s="881"/>
      <c r="U231" s="397">
        <v>41274</v>
      </c>
      <c r="V231" s="425">
        <v>361.1144505327245</v>
      </c>
      <c r="W231" s="400">
        <f t="shared" si="15"/>
        <v>0.82085610133493647</v>
      </c>
      <c r="X231" s="967" t="s">
        <v>1084</v>
      </c>
      <c r="Y231" s="445" t="s">
        <v>978</v>
      </c>
      <c r="Z231" s="445" t="s">
        <v>3989</v>
      </c>
      <c r="AA231" s="430">
        <v>41291</v>
      </c>
      <c r="AB231" s="430"/>
      <c r="AC231" s="431">
        <v>41274</v>
      </c>
      <c r="AD231" s="431"/>
      <c r="AE231" s="431"/>
      <c r="AF231" s="431"/>
      <c r="AG231" s="432"/>
      <c r="AH231" s="432">
        <v>117</v>
      </c>
      <c r="AI231" s="422">
        <f>281000/AH231</f>
        <v>2401.7094017094018</v>
      </c>
      <c r="AJ231" s="827"/>
      <c r="AK231" s="432"/>
      <c r="AL231" s="432"/>
      <c r="AM231" s="432"/>
      <c r="AN231" s="432"/>
      <c r="AO231" s="419"/>
      <c r="AP231" s="463"/>
      <c r="AQ231" s="782"/>
      <c r="AR231" s="63"/>
      <c r="AS231" s="63"/>
      <c r="AT231" s="63"/>
      <c r="AU231" s="63"/>
    </row>
    <row r="232" spans="1:48" s="474" customFormat="1" ht="12.75" customHeight="1">
      <c r="A232" s="530" t="s">
        <v>3966</v>
      </c>
      <c r="B232" s="467" t="s">
        <v>4066</v>
      </c>
      <c r="C232" s="445" t="s">
        <v>3979</v>
      </c>
      <c r="D232" s="462" t="s">
        <v>847</v>
      </c>
      <c r="E232" s="445" t="s">
        <v>3980</v>
      </c>
      <c r="F232" s="420">
        <v>1</v>
      </c>
      <c r="G232" s="420"/>
      <c r="H232" s="421" t="s">
        <v>968</v>
      </c>
      <c r="I232" s="455" t="s">
        <v>970</v>
      </c>
      <c r="J232" s="449" t="s">
        <v>970</v>
      </c>
      <c r="K232" s="450" t="s">
        <v>680</v>
      </c>
      <c r="L232" s="422">
        <v>191.21799999999999</v>
      </c>
      <c r="M232" s="423">
        <v>50</v>
      </c>
      <c r="N232" s="444">
        <v>40087</v>
      </c>
      <c r="O232" s="424">
        <v>516.13900000000001</v>
      </c>
      <c r="P232" s="419" t="s">
        <v>1084</v>
      </c>
      <c r="Q232" s="422">
        <f>453.503</f>
        <v>453.50299999999999</v>
      </c>
      <c r="R232" s="419"/>
      <c r="S232" s="419"/>
      <c r="T232" s="881">
        <v>41579</v>
      </c>
      <c r="U232" s="397">
        <v>41274</v>
      </c>
      <c r="V232" s="425">
        <v>479.74107404766363</v>
      </c>
      <c r="W232" s="400">
        <f t="shared" si="15"/>
        <v>0.94530784319489636</v>
      </c>
      <c r="X232" s="543"/>
      <c r="Y232" s="445" t="s">
        <v>1048</v>
      </c>
      <c r="Z232" s="445" t="s">
        <v>1049</v>
      </c>
      <c r="AA232" s="430">
        <v>41277</v>
      </c>
      <c r="AB232" s="496"/>
      <c r="AC232" s="431">
        <v>41271</v>
      </c>
      <c r="AD232" s="431"/>
      <c r="AE232" s="431"/>
      <c r="AF232" s="431"/>
      <c r="AG232" s="432"/>
      <c r="AH232" s="432">
        <f>33*2.3+16*2</f>
        <v>107.89999999999999</v>
      </c>
      <c r="AI232" s="422">
        <f>(97607+69248+87850)/AH232</f>
        <v>2360.565338276182</v>
      </c>
      <c r="AJ232" s="827"/>
      <c r="AK232" s="432"/>
      <c r="AL232" s="432"/>
      <c r="AM232" s="432"/>
      <c r="AN232" s="432"/>
      <c r="AO232" s="445" t="s">
        <v>3981</v>
      </c>
      <c r="AP232" s="463"/>
      <c r="AQ232" s="782"/>
      <c r="AR232" s="489"/>
      <c r="AS232" s="489"/>
      <c r="AT232" s="489"/>
      <c r="AU232" s="489"/>
      <c r="AV232" s="489"/>
    </row>
    <row r="233" spans="1:48" s="474" customFormat="1" ht="12.75" customHeight="1">
      <c r="A233" s="467" t="s">
        <v>3973</v>
      </c>
      <c r="B233" s="59" t="s">
        <v>4082</v>
      </c>
      <c r="C233" s="445" t="s">
        <v>3998</v>
      </c>
      <c r="D233" s="449" t="s">
        <v>847</v>
      </c>
      <c r="E233" s="445" t="s">
        <v>3999</v>
      </c>
      <c r="F233" s="420">
        <v>1</v>
      </c>
      <c r="G233" s="420"/>
      <c r="H233" s="421" t="s">
        <v>968</v>
      </c>
      <c r="I233" s="455" t="s">
        <v>973</v>
      </c>
      <c r="J233" s="449" t="s">
        <v>4001</v>
      </c>
      <c r="K233" s="450" t="s">
        <v>2001</v>
      </c>
      <c r="L233" s="422">
        <f>O233/4.66</f>
        <v>121.85793991416307</v>
      </c>
      <c r="M233" s="423">
        <v>50</v>
      </c>
      <c r="N233" s="444">
        <v>39569</v>
      </c>
      <c r="O233" s="424">
        <v>567.85799999999995</v>
      </c>
      <c r="P233" s="419" t="s">
        <v>1084</v>
      </c>
      <c r="Q233" s="422">
        <f>353.727</f>
        <v>353.72699999999998</v>
      </c>
      <c r="R233" s="419"/>
      <c r="S233" s="419"/>
      <c r="T233" s="881">
        <v>41579</v>
      </c>
      <c r="U233" s="397">
        <v>41274</v>
      </c>
      <c r="V233" s="425">
        <v>530.83312033838638</v>
      </c>
      <c r="W233" s="400">
        <f t="shared" si="15"/>
        <v>0.66636196282272697</v>
      </c>
      <c r="X233" s="543"/>
      <c r="Y233" s="445" t="s">
        <v>978</v>
      </c>
      <c r="Z233" s="445" t="s">
        <v>3989</v>
      </c>
      <c r="AA233" s="935">
        <v>41281</v>
      </c>
      <c r="AB233" s="430"/>
      <c r="AC233" s="431">
        <v>47115</v>
      </c>
      <c r="AD233" s="431"/>
      <c r="AE233" s="431"/>
      <c r="AF233" s="431"/>
      <c r="AG233" s="432"/>
      <c r="AH233" s="432">
        <v>0</v>
      </c>
      <c r="AI233" s="422"/>
      <c r="AJ233" s="432">
        <f>7.5471/Exch!B11</f>
        <v>8.938321072271652</v>
      </c>
      <c r="AK233" s="432">
        <f>AJ233*1000/L233</f>
        <v>73.350337930936789</v>
      </c>
      <c r="AL233" s="432"/>
      <c r="AM233" s="432"/>
      <c r="AN233" s="432"/>
      <c r="AO233" s="445" t="s">
        <v>4000</v>
      </c>
      <c r="AP233" s="463"/>
      <c r="AQ233" s="782"/>
    </row>
    <row r="234" spans="1:48" s="474" customFormat="1" ht="12.75" customHeight="1">
      <c r="A234" s="467" t="s">
        <v>3967</v>
      </c>
      <c r="B234" s="468" t="s">
        <v>4085</v>
      </c>
      <c r="C234" s="445" t="s">
        <v>3982</v>
      </c>
      <c r="D234" s="449" t="s">
        <v>847</v>
      </c>
      <c r="E234" s="445" t="s">
        <v>465</v>
      </c>
      <c r="F234" s="420">
        <v>1</v>
      </c>
      <c r="G234" s="420"/>
      <c r="H234" s="421" t="s">
        <v>968</v>
      </c>
      <c r="I234" s="455" t="s">
        <v>970</v>
      </c>
      <c r="J234" s="449" t="s">
        <v>970</v>
      </c>
      <c r="K234" s="450" t="s">
        <v>680</v>
      </c>
      <c r="L234" s="422">
        <f>O234/4.33</f>
        <v>70.199307159353353</v>
      </c>
      <c r="M234" s="423">
        <v>50</v>
      </c>
      <c r="N234" s="444">
        <v>39714</v>
      </c>
      <c r="O234" s="424">
        <v>303.96300000000002</v>
      </c>
      <c r="P234" s="419" t="s">
        <v>1084</v>
      </c>
      <c r="Q234" s="422">
        <f>299.853</f>
        <v>299.85300000000001</v>
      </c>
      <c r="R234" s="419"/>
      <c r="S234" s="419"/>
      <c r="T234" s="881">
        <v>41579</v>
      </c>
      <c r="U234" s="397">
        <v>41274</v>
      </c>
      <c r="V234" s="425">
        <v>222.45438541216592</v>
      </c>
      <c r="W234" s="400">
        <f t="shared" si="15"/>
        <v>1.347930270938148</v>
      </c>
      <c r="X234" s="543"/>
      <c r="Y234" s="445" t="s">
        <v>3983</v>
      </c>
      <c r="Z234" s="445" t="s">
        <v>2348</v>
      </c>
      <c r="AA234" s="935">
        <v>41278</v>
      </c>
      <c r="AB234" s="430"/>
      <c r="AC234" s="431">
        <v>41274</v>
      </c>
      <c r="AD234" s="431"/>
      <c r="AE234" s="431"/>
      <c r="AF234" s="431"/>
      <c r="AG234" s="432"/>
      <c r="AH234" s="432">
        <f>20*2.5+3*1.5+2*2.3</f>
        <v>59.1</v>
      </c>
      <c r="AI234" s="422">
        <f>124000/AH234</f>
        <v>2098.1387478849406</v>
      </c>
      <c r="AJ234" s="827"/>
      <c r="AK234" s="432"/>
      <c r="AL234" s="432"/>
      <c r="AM234" s="432"/>
      <c r="AN234" s="432"/>
      <c r="AO234" s="419"/>
      <c r="AP234" s="463"/>
      <c r="AQ234" s="782"/>
    </row>
    <row r="235" spans="1:48" s="474" customFormat="1" ht="12.75" customHeight="1">
      <c r="A235" s="51" t="s">
        <v>273</v>
      </c>
      <c r="B235" s="63">
        <v>10</v>
      </c>
      <c r="C235" s="51" t="s">
        <v>1720</v>
      </c>
      <c r="D235" s="54" t="s">
        <v>847</v>
      </c>
      <c r="E235" s="51"/>
      <c r="F235" s="54">
        <v>2</v>
      </c>
      <c r="G235" s="54"/>
      <c r="H235" s="61" t="s">
        <v>1712</v>
      </c>
      <c r="I235" s="68" t="s">
        <v>970</v>
      </c>
      <c r="J235" s="54" t="s">
        <v>970</v>
      </c>
      <c r="K235" s="61" t="s">
        <v>680</v>
      </c>
      <c r="L235" s="888">
        <v>75.677999999999997</v>
      </c>
      <c r="M235" s="92"/>
      <c r="N235" s="122">
        <v>39448</v>
      </c>
      <c r="O235" s="942">
        <f>L235*5</f>
        <v>378.39</v>
      </c>
      <c r="P235" s="51" t="s">
        <v>1550</v>
      </c>
      <c r="Q235" s="888"/>
      <c r="R235" s="51"/>
      <c r="S235" s="51"/>
      <c r="T235" s="891"/>
      <c r="U235" s="122"/>
      <c r="V235" s="361"/>
      <c r="W235" s="382"/>
      <c r="X235" s="870"/>
      <c r="Y235" s="51" t="s">
        <v>466</v>
      </c>
      <c r="Z235" s="51" t="s">
        <v>1728</v>
      </c>
      <c r="AA235" s="891">
        <v>39046</v>
      </c>
      <c r="AB235" s="864"/>
      <c r="AC235" s="864"/>
      <c r="AD235" s="864"/>
      <c r="AE235" s="864"/>
      <c r="AF235" s="864"/>
      <c r="AG235" s="198"/>
      <c r="AH235" s="198">
        <v>40</v>
      </c>
      <c r="AI235" s="888"/>
      <c r="AJ235" s="198"/>
      <c r="AK235" s="198"/>
      <c r="AL235" s="198"/>
      <c r="AM235" s="198"/>
      <c r="AN235" s="198"/>
      <c r="AO235" s="51" t="s">
        <v>1721</v>
      </c>
      <c r="AP235" s="463"/>
      <c r="AQ235" s="782"/>
    </row>
    <row r="236" spans="1:48" s="474" customFormat="1" ht="12.75" customHeight="1">
      <c r="A236" s="51" t="s">
        <v>274</v>
      </c>
      <c r="B236" s="63">
        <v>11</v>
      </c>
      <c r="C236" s="51" t="s">
        <v>1729</v>
      </c>
      <c r="D236" s="54" t="s">
        <v>847</v>
      </c>
      <c r="E236" s="51"/>
      <c r="F236" s="54">
        <v>2</v>
      </c>
      <c r="G236" s="54"/>
      <c r="H236" s="61" t="s">
        <v>1712</v>
      </c>
      <c r="I236" s="68" t="s">
        <v>970</v>
      </c>
      <c r="J236" s="54" t="s">
        <v>970</v>
      </c>
      <c r="K236" s="61" t="s">
        <v>680</v>
      </c>
      <c r="L236" s="888">
        <v>41.219000000000001</v>
      </c>
      <c r="M236" s="92"/>
      <c r="N236" s="122">
        <v>39814</v>
      </c>
      <c r="O236" s="942">
        <f>L236*4</f>
        <v>164.876</v>
      </c>
      <c r="P236" s="51" t="s">
        <v>1550</v>
      </c>
      <c r="Q236" s="888"/>
      <c r="R236" s="51"/>
      <c r="S236" s="51"/>
      <c r="T236" s="891"/>
      <c r="U236" s="122"/>
      <c r="V236" s="361"/>
      <c r="W236" s="382"/>
      <c r="X236" s="870"/>
      <c r="Y236" s="51" t="s">
        <v>466</v>
      </c>
      <c r="Z236" s="51" t="s">
        <v>1728</v>
      </c>
      <c r="AA236" s="891">
        <v>39046</v>
      </c>
      <c r="AB236" s="864"/>
      <c r="AC236" s="864"/>
      <c r="AD236" s="864"/>
      <c r="AE236" s="864"/>
      <c r="AF236" s="864"/>
      <c r="AG236" s="198"/>
      <c r="AH236" s="198">
        <v>22</v>
      </c>
      <c r="AI236" s="888"/>
      <c r="AJ236" s="198"/>
      <c r="AK236" s="198"/>
      <c r="AL236" s="198"/>
      <c r="AM236" s="198"/>
      <c r="AN236" s="198"/>
      <c r="AO236" s="51" t="s">
        <v>1721</v>
      </c>
      <c r="AP236" s="463"/>
      <c r="AQ236" s="51"/>
    </row>
    <row r="237" spans="1:48" s="474" customFormat="1" ht="12.75" customHeight="1">
      <c r="A237" s="51" t="s">
        <v>1726</v>
      </c>
      <c r="B237" s="63">
        <v>24</v>
      </c>
      <c r="C237" s="51" t="s">
        <v>1523</v>
      </c>
      <c r="D237" s="54" t="s">
        <v>847</v>
      </c>
      <c r="E237" s="51"/>
      <c r="F237" s="54">
        <v>2</v>
      </c>
      <c r="G237" s="54"/>
      <c r="H237" s="61" t="s">
        <v>1712</v>
      </c>
      <c r="I237" s="68" t="s">
        <v>970</v>
      </c>
      <c r="J237" s="54" t="s">
        <v>970</v>
      </c>
      <c r="K237" s="61" t="s">
        <v>680</v>
      </c>
      <c r="L237" s="888">
        <v>75.099000000000004</v>
      </c>
      <c r="M237" s="92"/>
      <c r="N237" s="122">
        <v>39722</v>
      </c>
      <c r="O237" s="942">
        <f>L237*5</f>
        <v>375.495</v>
      </c>
      <c r="P237" s="51" t="s">
        <v>1731</v>
      </c>
      <c r="Q237" s="888"/>
      <c r="R237" s="51"/>
      <c r="S237" s="51"/>
      <c r="T237" s="891"/>
      <c r="U237" s="122"/>
      <c r="V237" s="361"/>
      <c r="W237" s="382"/>
      <c r="X237" s="870"/>
      <c r="Y237" s="443" t="s">
        <v>1084</v>
      </c>
      <c r="Z237" s="51" t="s">
        <v>1525</v>
      </c>
      <c r="AA237" s="1019">
        <v>39091</v>
      </c>
      <c r="AB237" s="945"/>
      <c r="AC237" s="864"/>
      <c r="AD237" s="864"/>
      <c r="AE237" s="864"/>
      <c r="AF237" s="864"/>
      <c r="AG237" s="198"/>
      <c r="AH237" s="198">
        <v>30</v>
      </c>
      <c r="AI237" s="888"/>
      <c r="AJ237" s="198"/>
      <c r="AK237" s="198"/>
      <c r="AL237" s="198"/>
      <c r="AM237" s="198"/>
      <c r="AN237" s="198"/>
      <c r="AO237" s="51" t="s">
        <v>1524</v>
      </c>
      <c r="AP237" s="463"/>
      <c r="AQ237" s="781"/>
    </row>
    <row r="238" spans="1:48" s="474" customFormat="1" ht="12.75" customHeight="1">
      <c r="A238" s="51" t="s">
        <v>714</v>
      </c>
      <c r="B238" s="63">
        <v>48</v>
      </c>
      <c r="C238" s="51" t="s">
        <v>519</v>
      </c>
      <c r="D238" s="54" t="s">
        <v>847</v>
      </c>
      <c r="E238" s="51"/>
      <c r="F238" s="54">
        <v>2</v>
      </c>
      <c r="G238" s="54"/>
      <c r="H238" s="61" t="s">
        <v>1712</v>
      </c>
      <c r="I238" s="68" t="s">
        <v>1489</v>
      </c>
      <c r="J238" s="54" t="s">
        <v>1710</v>
      </c>
      <c r="K238" s="61" t="s">
        <v>521</v>
      </c>
      <c r="L238" s="888">
        <v>42.554000000000002</v>
      </c>
      <c r="M238" s="92"/>
      <c r="N238" s="122">
        <v>39448</v>
      </c>
      <c r="O238" s="942">
        <v>212.77</v>
      </c>
      <c r="P238" s="51" t="s">
        <v>896</v>
      </c>
      <c r="Q238" s="888"/>
      <c r="R238" s="51"/>
      <c r="S238" s="51"/>
      <c r="T238" s="891"/>
      <c r="U238" s="122"/>
      <c r="V238" s="361"/>
      <c r="W238" s="382"/>
      <c r="X238" s="870"/>
      <c r="Y238" s="51" t="s">
        <v>520</v>
      </c>
      <c r="Z238" s="51" t="s">
        <v>543</v>
      </c>
      <c r="AA238" s="1019">
        <v>39176</v>
      </c>
      <c r="AB238" s="945"/>
      <c r="AC238" s="864"/>
      <c r="AD238" s="864"/>
      <c r="AE238" s="864"/>
      <c r="AF238" s="864"/>
      <c r="AG238" s="198"/>
      <c r="AH238" s="198"/>
      <c r="AI238" s="888"/>
      <c r="AJ238" s="198"/>
      <c r="AK238" s="198"/>
      <c r="AL238" s="198"/>
      <c r="AM238" s="198"/>
      <c r="AN238" s="198"/>
      <c r="AO238" s="51"/>
      <c r="AP238" s="463"/>
      <c r="AQ238" s="51"/>
    </row>
    <row r="239" spans="1:48" s="474" customFormat="1" ht="12.75" customHeight="1">
      <c r="A239" s="51" t="s">
        <v>1145</v>
      </c>
      <c r="B239" s="59">
        <v>137</v>
      </c>
      <c r="C239" s="429" t="s">
        <v>1157</v>
      </c>
      <c r="D239" s="420" t="s">
        <v>1587</v>
      </c>
      <c r="E239" s="419" t="s">
        <v>1156</v>
      </c>
      <c r="F239" s="420">
        <v>2</v>
      </c>
      <c r="G239" s="420"/>
      <c r="H239" s="393" t="s">
        <v>968</v>
      </c>
      <c r="I239" s="471" t="s">
        <v>981</v>
      </c>
      <c r="J239" s="420" t="s">
        <v>1173</v>
      </c>
      <c r="K239" s="421" t="s">
        <v>4</v>
      </c>
      <c r="L239" s="422">
        <v>1821.595</v>
      </c>
      <c r="M239" s="423">
        <v>90</v>
      </c>
      <c r="N239" s="444">
        <v>39653</v>
      </c>
      <c r="O239" s="424">
        <f>L239*4.438</f>
        <v>8084.2386099999994</v>
      </c>
      <c r="P239" s="419" t="s">
        <v>1731</v>
      </c>
      <c r="Q239" s="422">
        <f>2197.384+2474.185</f>
        <v>4671.5689999999995</v>
      </c>
      <c r="R239" s="425"/>
      <c r="S239" s="425"/>
      <c r="T239" s="881">
        <v>40620</v>
      </c>
      <c r="U239" s="444">
        <v>40825</v>
      </c>
      <c r="V239" s="425">
        <v>5590.5625002814795</v>
      </c>
      <c r="W239" s="400">
        <f>Q239/V239</f>
        <v>0.8356169884094472</v>
      </c>
      <c r="X239" s="545" t="s">
        <v>728</v>
      </c>
      <c r="Y239" s="445" t="s">
        <v>2151</v>
      </c>
      <c r="Z239" s="445" t="s">
        <v>1171</v>
      </c>
      <c r="AA239" s="935">
        <v>39582</v>
      </c>
      <c r="AB239" s="430"/>
      <c r="AC239" s="431"/>
      <c r="AD239" s="431">
        <v>40417</v>
      </c>
      <c r="AE239" s="431"/>
      <c r="AF239" s="431"/>
      <c r="AG239" s="432"/>
      <c r="AH239" s="432">
        <v>0</v>
      </c>
      <c r="AI239" s="422"/>
      <c r="AJ239" s="432"/>
      <c r="AK239" s="432"/>
      <c r="AL239" s="432"/>
      <c r="AM239" s="432"/>
      <c r="AN239" s="432"/>
      <c r="AO239" s="419"/>
      <c r="AP239" s="463"/>
      <c r="AQ239" s="782"/>
    </row>
    <row r="240" spans="1:48" s="474" customFormat="1" ht="12.75" customHeight="1">
      <c r="A240" s="467" t="s">
        <v>4027</v>
      </c>
      <c r="B240" s="489" t="s">
        <v>2475</v>
      </c>
      <c r="C240" s="445" t="s">
        <v>4028</v>
      </c>
      <c r="D240" s="449" t="s">
        <v>1587</v>
      </c>
      <c r="E240" s="445" t="s">
        <v>4029</v>
      </c>
      <c r="F240" s="420">
        <v>1</v>
      </c>
      <c r="G240" s="420"/>
      <c r="H240" s="421" t="s">
        <v>968</v>
      </c>
      <c r="I240" s="455" t="s">
        <v>981</v>
      </c>
      <c r="J240" s="725" t="s">
        <v>1173</v>
      </c>
      <c r="K240" s="450" t="s">
        <v>4</v>
      </c>
      <c r="L240" s="422">
        <v>172.732</v>
      </c>
      <c r="M240" s="423">
        <v>70</v>
      </c>
      <c r="N240" s="444">
        <v>40725</v>
      </c>
      <c r="O240" s="424">
        <v>259.09800000000001</v>
      </c>
      <c r="P240" s="727" t="s">
        <v>1732</v>
      </c>
      <c r="Q240" s="422"/>
      <c r="R240" s="425"/>
      <c r="S240" s="425"/>
      <c r="T240" s="881"/>
      <c r="U240" s="444"/>
      <c r="V240" s="425"/>
      <c r="W240" s="400"/>
      <c r="X240" s="543"/>
      <c r="Y240" s="445" t="s">
        <v>3279</v>
      </c>
      <c r="Z240" s="445" t="s">
        <v>3280</v>
      </c>
      <c r="AA240" s="935">
        <v>41317</v>
      </c>
      <c r="AB240" s="430"/>
      <c r="AC240" s="431">
        <v>41043</v>
      </c>
      <c r="AD240" s="431">
        <v>40785</v>
      </c>
      <c r="AE240" s="431"/>
      <c r="AF240" s="431"/>
      <c r="AG240" s="432"/>
      <c r="AH240" s="432"/>
      <c r="AI240" s="422"/>
      <c r="AJ240" s="827"/>
      <c r="AK240" s="432"/>
      <c r="AL240" s="432"/>
      <c r="AM240" s="432"/>
      <c r="AN240" s="432"/>
      <c r="AO240" s="419"/>
      <c r="AP240" s="463"/>
      <c r="AQ240" s="782"/>
      <c r="AR240" s="820"/>
      <c r="AS240" s="820"/>
      <c r="AT240" s="820"/>
      <c r="AU240" s="820"/>
      <c r="AV240" s="464"/>
    </row>
    <row r="241" spans="1:48" s="474" customFormat="1" ht="27.75" customHeight="1">
      <c r="A241" s="51" t="s">
        <v>522</v>
      </c>
      <c r="B241" s="63" t="s">
        <v>228</v>
      </c>
      <c r="C241" s="405" t="s">
        <v>542</v>
      </c>
      <c r="D241" s="392" t="s">
        <v>1587</v>
      </c>
      <c r="E241" s="391" t="s">
        <v>138</v>
      </c>
      <c r="F241" s="392">
        <v>1</v>
      </c>
      <c r="G241" s="392"/>
      <c r="H241" s="393" t="s">
        <v>968</v>
      </c>
      <c r="I241" s="394" t="s">
        <v>1082</v>
      </c>
      <c r="J241" s="344" t="s">
        <v>1357</v>
      </c>
      <c r="K241" s="490" t="s">
        <v>2001</v>
      </c>
      <c r="L241" s="395">
        <f>O241/5</f>
        <v>52.999000000000002</v>
      </c>
      <c r="M241" s="396">
        <v>0</v>
      </c>
      <c r="N241" s="397">
        <v>39448</v>
      </c>
      <c r="O241" s="398">
        <v>264.995</v>
      </c>
      <c r="P241" s="391" t="s">
        <v>1486</v>
      </c>
      <c r="Q241" s="395">
        <f>72.198+61.485+55.594+46.588</f>
        <v>235.86499999999998</v>
      </c>
      <c r="R241" s="399"/>
      <c r="S241" s="399"/>
      <c r="T241" s="879">
        <v>40262</v>
      </c>
      <c r="U241" s="397">
        <v>40908</v>
      </c>
      <c r="V241" s="399">
        <v>211.99600000000001</v>
      </c>
      <c r="W241" s="400">
        <f>Q241/V241</f>
        <v>1.1125917470140945</v>
      </c>
      <c r="X241" s="967" t="s">
        <v>1731</v>
      </c>
      <c r="Y241" s="391" t="s">
        <v>39</v>
      </c>
      <c r="Z241" s="391" t="s">
        <v>137</v>
      </c>
      <c r="AA241" s="936">
        <v>39757</v>
      </c>
      <c r="AB241" s="402"/>
      <c r="AC241" s="401">
        <v>37687</v>
      </c>
      <c r="AD241" s="401">
        <v>38405</v>
      </c>
      <c r="AE241" s="402">
        <v>39757</v>
      </c>
      <c r="AF241" s="401"/>
      <c r="AG241" s="390"/>
      <c r="AH241" s="390">
        <v>0</v>
      </c>
      <c r="AI241" s="395"/>
      <c r="AJ241" s="395"/>
      <c r="AK241" s="395"/>
      <c r="AL241" s="395"/>
      <c r="AM241" s="390"/>
      <c r="AN241" s="395"/>
      <c r="AO241" s="391" t="s">
        <v>898</v>
      </c>
      <c r="AP241" s="791">
        <v>456</v>
      </c>
      <c r="AQ241" s="784" t="s">
        <v>542</v>
      </c>
    </row>
    <row r="242" spans="1:48" s="474" customFormat="1" ht="12.75" customHeight="1">
      <c r="A242" s="51" t="s">
        <v>786</v>
      </c>
      <c r="B242" s="63" t="s">
        <v>227</v>
      </c>
      <c r="C242" s="405" t="s">
        <v>787</v>
      </c>
      <c r="D242" s="392" t="s">
        <v>1587</v>
      </c>
      <c r="E242" s="391" t="s">
        <v>826</v>
      </c>
      <c r="F242" s="392">
        <v>1</v>
      </c>
      <c r="G242" s="392"/>
      <c r="H242" s="393" t="s">
        <v>968</v>
      </c>
      <c r="I242" s="394" t="s">
        <v>1735</v>
      </c>
      <c r="J242" s="344" t="s">
        <v>827</v>
      </c>
      <c r="K242" s="393" t="s">
        <v>680</v>
      </c>
      <c r="L242" s="395">
        <f>O242/5</f>
        <v>34.670999999999999</v>
      </c>
      <c r="M242" s="396">
        <v>0</v>
      </c>
      <c r="N242" s="397">
        <v>39448</v>
      </c>
      <c r="O242" s="398">
        <v>173.35499999999999</v>
      </c>
      <c r="P242" s="391" t="s">
        <v>1731</v>
      </c>
      <c r="Q242" s="395">
        <f>93.038+81.958</f>
        <v>174.99599999999998</v>
      </c>
      <c r="R242" s="399"/>
      <c r="S242" s="399"/>
      <c r="T242" s="879">
        <v>40672</v>
      </c>
      <c r="U242" s="397">
        <v>40908</v>
      </c>
      <c r="V242" s="399">
        <v>138.684</v>
      </c>
      <c r="W242" s="400">
        <f>Q242/V242</f>
        <v>1.2618326555334429</v>
      </c>
      <c r="X242" s="545" t="s">
        <v>1731</v>
      </c>
      <c r="Y242" s="391" t="s">
        <v>1388</v>
      </c>
      <c r="Z242" s="391" t="s">
        <v>788</v>
      </c>
      <c r="AA242" s="936">
        <v>39772</v>
      </c>
      <c r="AB242" s="402"/>
      <c r="AC242" s="401"/>
      <c r="AD242" s="401"/>
      <c r="AE242" s="402"/>
      <c r="AF242" s="401"/>
      <c r="AG242" s="390"/>
      <c r="AH242" s="390">
        <v>18</v>
      </c>
      <c r="AI242" s="395">
        <f>30200/AH242</f>
        <v>1677.7777777777778</v>
      </c>
      <c r="AJ242" s="395"/>
      <c r="AK242" s="395"/>
      <c r="AL242" s="395"/>
      <c r="AM242" s="390"/>
      <c r="AN242" s="395"/>
      <c r="AO242" s="391" t="s">
        <v>789</v>
      </c>
      <c r="AP242" s="463"/>
      <c r="AQ242" s="782"/>
      <c r="AR242" s="63"/>
      <c r="AS242" s="63"/>
      <c r="AT242" s="63"/>
      <c r="AU242" s="63"/>
    </row>
    <row r="243" spans="1:48" s="474" customFormat="1" ht="12.75" customHeight="1">
      <c r="A243" s="51" t="s">
        <v>217</v>
      </c>
      <c r="B243" s="59" t="s">
        <v>213</v>
      </c>
      <c r="C243" s="391" t="s">
        <v>214</v>
      </c>
      <c r="D243" s="392" t="s">
        <v>1587</v>
      </c>
      <c r="E243" s="391" t="s">
        <v>1627</v>
      </c>
      <c r="F243" s="392">
        <v>1</v>
      </c>
      <c r="G243" s="392"/>
      <c r="H243" s="393" t="s">
        <v>968</v>
      </c>
      <c r="I243" s="394" t="s">
        <v>1586</v>
      </c>
      <c r="J243" s="344" t="s">
        <v>1586</v>
      </c>
      <c r="K243" s="490" t="s">
        <v>2001</v>
      </c>
      <c r="L243" s="1044">
        <f>O243/5</f>
        <v>82.009199999999993</v>
      </c>
      <c r="M243" s="396">
        <v>0</v>
      </c>
      <c r="N243" s="397">
        <v>39448</v>
      </c>
      <c r="O243" s="398">
        <v>410.04599999999999</v>
      </c>
      <c r="P243" s="480" t="s">
        <v>1732</v>
      </c>
      <c r="Q243" s="395"/>
      <c r="R243" s="391"/>
      <c r="S243" s="391"/>
      <c r="T243" s="879"/>
      <c r="U243" s="397"/>
      <c r="V243" s="399"/>
      <c r="W243" s="400"/>
      <c r="X243" s="545"/>
      <c r="Y243" s="391" t="s">
        <v>504</v>
      </c>
      <c r="Z243" s="391" t="s">
        <v>215</v>
      </c>
      <c r="AA243" s="936">
        <v>40065</v>
      </c>
      <c r="AB243" s="402"/>
      <c r="AC243" s="401"/>
      <c r="AD243" s="401">
        <v>37421</v>
      </c>
      <c r="AE243" s="401"/>
      <c r="AF243" s="401"/>
      <c r="AG243" s="390"/>
      <c r="AH243" s="390">
        <v>0</v>
      </c>
      <c r="AI243" s="395"/>
      <c r="AJ243" s="390">
        <v>10.1</v>
      </c>
      <c r="AK243" s="390">
        <f>AJ243*1000/L243</f>
        <v>123.15691410232024</v>
      </c>
      <c r="AL243" s="390"/>
      <c r="AM243" s="390"/>
      <c r="AN243" s="390"/>
      <c r="AO243" s="391" t="s">
        <v>216</v>
      </c>
      <c r="AP243" s="514"/>
      <c r="AQ243" s="51"/>
    </row>
    <row r="244" spans="1:48" s="474" customFormat="1" ht="12.75" customHeight="1">
      <c r="A244" s="51" t="s">
        <v>1186</v>
      </c>
      <c r="B244" s="59" t="s">
        <v>1187</v>
      </c>
      <c r="C244" s="405" t="s">
        <v>1188</v>
      </c>
      <c r="D244" s="287" t="s">
        <v>1587</v>
      </c>
      <c r="E244" s="405" t="s">
        <v>1125</v>
      </c>
      <c r="F244" s="392">
        <v>1</v>
      </c>
      <c r="G244" s="392"/>
      <c r="H244" s="393" t="s">
        <v>968</v>
      </c>
      <c r="I244" s="404" t="s">
        <v>972</v>
      </c>
      <c r="J244" s="344" t="s">
        <v>463</v>
      </c>
      <c r="K244" s="490" t="s">
        <v>2001</v>
      </c>
      <c r="L244" s="395">
        <v>23.853549999999998</v>
      </c>
      <c r="M244" s="396">
        <v>0</v>
      </c>
      <c r="N244" s="397">
        <v>39448</v>
      </c>
      <c r="O244" s="395">
        <v>119.27</v>
      </c>
      <c r="P244" s="391" t="s">
        <v>1486</v>
      </c>
      <c r="Q244" s="395">
        <f>27.503+25.249+31.232+30.338</f>
        <v>114.322</v>
      </c>
      <c r="R244" s="399"/>
      <c r="S244" s="399"/>
      <c r="T244" s="879">
        <v>40529</v>
      </c>
      <c r="U244" s="397">
        <v>40908</v>
      </c>
      <c r="V244" s="399">
        <v>95.414199999999994</v>
      </c>
      <c r="W244" s="400">
        <f t="shared" ref="W244:W251" si="16">Q244/V244</f>
        <v>1.1981654722253083</v>
      </c>
      <c r="X244" s="545" t="s">
        <v>1731</v>
      </c>
      <c r="Y244" s="452" t="s">
        <v>39</v>
      </c>
      <c r="Z244" s="391" t="s">
        <v>1225</v>
      </c>
      <c r="AA244" s="936">
        <v>40073</v>
      </c>
      <c r="AB244" s="402"/>
      <c r="AC244" s="401">
        <v>38110</v>
      </c>
      <c r="AD244" s="401">
        <v>37948</v>
      </c>
      <c r="AE244" s="401"/>
      <c r="AF244" s="401"/>
      <c r="AG244" s="390"/>
      <c r="AH244" s="390">
        <v>0</v>
      </c>
      <c r="AI244" s="395"/>
      <c r="AJ244" s="390">
        <f>2.03</f>
        <v>2.0299999999999998</v>
      </c>
      <c r="AK244" s="390">
        <f>AJ244*1000/L244</f>
        <v>85.102636714451307</v>
      </c>
      <c r="AL244" s="390"/>
      <c r="AM244" s="390"/>
      <c r="AN244" s="390"/>
      <c r="AO244" s="391" t="s">
        <v>1189</v>
      </c>
      <c r="AP244" s="791">
        <v>190.83199999999999</v>
      </c>
      <c r="AQ244" s="784" t="s">
        <v>2823</v>
      </c>
      <c r="AR244" s="820"/>
      <c r="AS244" s="820"/>
      <c r="AT244" s="820"/>
      <c r="AU244" s="820"/>
      <c r="AV244" s="464"/>
    </row>
    <row r="245" spans="1:48" s="474" customFormat="1" ht="12.75" customHeight="1">
      <c r="A245" s="51" t="s">
        <v>1789</v>
      </c>
      <c r="B245" s="488" t="s">
        <v>1777</v>
      </c>
      <c r="C245" s="419" t="s">
        <v>1783</v>
      </c>
      <c r="D245" s="420" t="s">
        <v>1587</v>
      </c>
      <c r="E245" s="419" t="s">
        <v>1794</v>
      </c>
      <c r="F245" s="420">
        <v>1</v>
      </c>
      <c r="G245" s="420"/>
      <c r="H245" s="421" t="s">
        <v>968</v>
      </c>
      <c r="I245" s="533" t="s">
        <v>256</v>
      </c>
      <c r="J245" s="420" t="s">
        <v>1795</v>
      </c>
      <c r="K245" s="490" t="s">
        <v>2001</v>
      </c>
      <c r="L245" s="422">
        <v>20.184000000000001</v>
      </c>
      <c r="M245" s="423">
        <v>0</v>
      </c>
      <c r="N245" s="444">
        <v>39448</v>
      </c>
      <c r="O245" s="424">
        <v>105.92</v>
      </c>
      <c r="P245" s="419" t="s">
        <v>1731</v>
      </c>
      <c r="Q245" s="422">
        <f>25.253+29.101+24.561</f>
        <v>78.914999999999992</v>
      </c>
      <c r="R245" s="425"/>
      <c r="S245" s="425"/>
      <c r="T245" s="881">
        <v>40338</v>
      </c>
      <c r="U245" s="397">
        <v>40908</v>
      </c>
      <c r="V245" s="425">
        <v>80.736000000000004</v>
      </c>
      <c r="W245" s="400">
        <f t="shared" si="16"/>
        <v>0.97744500594530304</v>
      </c>
      <c r="X245" s="545" t="s">
        <v>1732</v>
      </c>
      <c r="Y245" s="452" t="s">
        <v>39</v>
      </c>
      <c r="Z245" s="419" t="s">
        <v>1225</v>
      </c>
      <c r="AA245" s="880">
        <v>40269</v>
      </c>
      <c r="AB245" s="430"/>
      <c r="AC245" s="431">
        <v>38793</v>
      </c>
      <c r="AD245" s="431"/>
      <c r="AE245" s="431"/>
      <c r="AF245" s="431"/>
      <c r="AG245" s="432"/>
      <c r="AH245" s="432">
        <v>0</v>
      </c>
      <c r="AI245" s="422"/>
      <c r="AJ245" s="1083">
        <v>0.239645</v>
      </c>
      <c r="AK245" s="432">
        <f>AJ245*1000/L245</f>
        <v>11.873018232263179</v>
      </c>
      <c r="AL245" s="422"/>
      <c r="AM245" s="432"/>
      <c r="AN245" s="432"/>
      <c r="AO245" s="419"/>
      <c r="AP245" s="791">
        <v>131.196</v>
      </c>
      <c r="AQ245" s="784" t="s">
        <v>2822</v>
      </c>
    </row>
    <row r="246" spans="1:48" s="474" customFormat="1" ht="12.75" customHeight="1">
      <c r="A246" s="51" t="s">
        <v>1790</v>
      </c>
      <c r="B246" s="488" t="s">
        <v>1778</v>
      </c>
      <c r="C246" s="419" t="s">
        <v>1782</v>
      </c>
      <c r="D246" s="420" t="s">
        <v>1587</v>
      </c>
      <c r="E246" s="419" t="s">
        <v>1796</v>
      </c>
      <c r="F246" s="420">
        <v>1</v>
      </c>
      <c r="G246" s="420"/>
      <c r="H246" s="421" t="s">
        <v>968</v>
      </c>
      <c r="I246" s="533" t="s">
        <v>1467</v>
      </c>
      <c r="J246" s="420" t="s">
        <v>1136</v>
      </c>
      <c r="K246" s="490" t="s">
        <v>2001</v>
      </c>
      <c r="L246" s="422">
        <f>O246/5</f>
        <v>58.657000000000004</v>
      </c>
      <c r="M246" s="423">
        <v>0</v>
      </c>
      <c r="N246" s="444">
        <v>39448</v>
      </c>
      <c r="O246" s="424">
        <v>293.28500000000003</v>
      </c>
      <c r="P246" s="419" t="s">
        <v>1731</v>
      </c>
      <c r="Q246" s="422">
        <f>110.054+71.316+66.566</f>
        <v>247.93600000000001</v>
      </c>
      <c r="R246" s="425"/>
      <c r="S246" s="425"/>
      <c r="T246" s="881">
        <v>40359</v>
      </c>
      <c r="U246" s="397">
        <v>40908</v>
      </c>
      <c r="V246" s="425">
        <v>234.62800000000001</v>
      </c>
      <c r="W246" s="400">
        <f t="shared" si="16"/>
        <v>1.0567195731114785</v>
      </c>
      <c r="X246" s="545" t="s">
        <v>1732</v>
      </c>
      <c r="Y246" s="452" t="s">
        <v>39</v>
      </c>
      <c r="Z246" s="419" t="s">
        <v>1225</v>
      </c>
      <c r="AA246" s="880">
        <v>40269</v>
      </c>
      <c r="AB246" s="430"/>
      <c r="AC246" s="431">
        <v>39044</v>
      </c>
      <c r="AD246" s="431"/>
      <c r="AE246" s="431"/>
      <c r="AF246" s="431"/>
      <c r="AG246" s="432"/>
      <c r="AH246" s="432">
        <v>0</v>
      </c>
      <c r="AI246" s="422"/>
      <c r="AJ246" s="433"/>
      <c r="AK246" s="432"/>
      <c r="AL246" s="422"/>
      <c r="AM246" s="432"/>
      <c r="AN246" s="432"/>
      <c r="AO246" s="419"/>
      <c r="AP246" s="791">
        <v>335</v>
      </c>
      <c r="AQ246" s="784" t="s">
        <v>2824</v>
      </c>
    </row>
    <row r="247" spans="1:48" s="474" customFormat="1" ht="12.75" customHeight="1">
      <c r="A247" s="467" t="s">
        <v>1988</v>
      </c>
      <c r="B247" s="499" t="s">
        <v>1982</v>
      </c>
      <c r="C247" s="480" t="s">
        <v>1986</v>
      </c>
      <c r="D247" s="449" t="s">
        <v>1587</v>
      </c>
      <c r="E247" s="419" t="s">
        <v>2008</v>
      </c>
      <c r="F247" s="420">
        <v>1</v>
      </c>
      <c r="G247" s="420"/>
      <c r="H247" s="421" t="s">
        <v>968</v>
      </c>
      <c r="I247" s="455" t="s">
        <v>1467</v>
      </c>
      <c r="J247" s="420" t="s">
        <v>2184</v>
      </c>
      <c r="K247" s="490" t="s">
        <v>2001</v>
      </c>
      <c r="L247" s="422">
        <v>81</v>
      </c>
      <c r="M247" s="423">
        <v>0</v>
      </c>
      <c r="N247" s="479">
        <v>39448</v>
      </c>
      <c r="O247" s="424">
        <v>412.01799999999997</v>
      </c>
      <c r="P247" s="419" t="s">
        <v>1732</v>
      </c>
      <c r="Q247" s="422">
        <f>52.523+25.809</f>
        <v>78.332000000000008</v>
      </c>
      <c r="R247" s="425"/>
      <c r="S247" s="425"/>
      <c r="T247" s="881">
        <v>40660</v>
      </c>
      <c r="U247" s="444">
        <v>40178</v>
      </c>
      <c r="V247" s="425">
        <v>162</v>
      </c>
      <c r="W247" s="400">
        <f t="shared" si="16"/>
        <v>0.48353086419753089</v>
      </c>
      <c r="X247" s="545" t="s">
        <v>1732</v>
      </c>
      <c r="Y247" s="419" t="s">
        <v>1084</v>
      </c>
      <c r="Z247" s="419" t="s">
        <v>1084</v>
      </c>
      <c r="AA247" s="935">
        <v>40400</v>
      </c>
      <c r="AB247" s="430"/>
      <c r="AC247" s="431">
        <v>38127</v>
      </c>
      <c r="AD247" s="431">
        <v>39799</v>
      </c>
      <c r="AE247" s="431"/>
      <c r="AF247" s="431"/>
      <c r="AG247" s="432"/>
      <c r="AH247" s="432">
        <v>6.8</v>
      </c>
      <c r="AI247" s="422"/>
      <c r="AJ247" s="432"/>
      <c r="AK247" s="432"/>
      <c r="AL247" s="432"/>
      <c r="AM247" s="432"/>
      <c r="AN247" s="432"/>
      <c r="AO247" s="419"/>
      <c r="AP247" s="463"/>
      <c r="AQ247" s="51"/>
    </row>
    <row r="248" spans="1:48" s="474" customFormat="1" ht="12.75" customHeight="1">
      <c r="A248" s="467" t="s">
        <v>2026</v>
      </c>
      <c r="B248" s="468" t="s">
        <v>2032</v>
      </c>
      <c r="C248" s="445" t="s">
        <v>2033</v>
      </c>
      <c r="D248" s="449" t="s">
        <v>1587</v>
      </c>
      <c r="E248" s="445" t="s">
        <v>2068</v>
      </c>
      <c r="F248" s="420">
        <v>1</v>
      </c>
      <c r="G248" s="420"/>
      <c r="H248" s="421" t="s">
        <v>968</v>
      </c>
      <c r="I248" s="455" t="s">
        <v>911</v>
      </c>
      <c r="J248" s="552" t="s">
        <v>973</v>
      </c>
      <c r="K248" s="450" t="s">
        <v>2001</v>
      </c>
      <c r="L248" s="422">
        <v>177.66900000000001</v>
      </c>
      <c r="M248" s="423">
        <v>0</v>
      </c>
      <c r="N248" s="479">
        <v>39448</v>
      </c>
      <c r="O248" s="424">
        <v>888.34500000000003</v>
      </c>
      <c r="P248" s="419" t="s">
        <v>1084</v>
      </c>
      <c r="Q248" s="422">
        <f>200.537+154.899+108.235+129.187+126.382</f>
        <v>719.24</v>
      </c>
      <c r="R248" s="425"/>
      <c r="S248" s="425"/>
      <c r="T248" s="881">
        <v>39885</v>
      </c>
      <c r="U248" s="444">
        <v>40543</v>
      </c>
      <c r="V248" s="425">
        <v>533.00700000000006</v>
      </c>
      <c r="W248" s="400">
        <f t="shared" si="16"/>
        <v>1.3494006645316101</v>
      </c>
      <c r="X248" s="543" t="s">
        <v>700</v>
      </c>
      <c r="Y248" s="445" t="s">
        <v>425</v>
      </c>
      <c r="Z248" s="532" t="s">
        <v>1084</v>
      </c>
      <c r="AA248" s="935">
        <v>40435</v>
      </c>
      <c r="AB248" s="430"/>
      <c r="AC248" s="431">
        <v>37511</v>
      </c>
      <c r="AD248" s="431"/>
      <c r="AE248" s="431"/>
      <c r="AF248" s="431"/>
      <c r="AG248" s="432"/>
      <c r="AH248" s="432">
        <v>0</v>
      </c>
      <c r="AI248" s="422"/>
      <c r="AJ248" s="827"/>
      <c r="AK248" s="432"/>
      <c r="AL248" s="432"/>
      <c r="AM248" s="432"/>
      <c r="AN248" s="432"/>
      <c r="AO248" s="419"/>
      <c r="AP248" s="463"/>
      <c r="AQ248" s="51"/>
    </row>
    <row r="249" spans="1:48" s="474" customFormat="1" ht="12.75" customHeight="1">
      <c r="A249" s="467" t="s">
        <v>2210</v>
      </c>
      <c r="B249" s="499" t="s">
        <v>2170</v>
      </c>
      <c r="C249" s="445" t="s">
        <v>2182</v>
      </c>
      <c r="D249" s="449" t="s">
        <v>1587</v>
      </c>
      <c r="E249" s="445" t="s">
        <v>2183</v>
      </c>
      <c r="F249" s="420">
        <v>1</v>
      </c>
      <c r="G249" s="420"/>
      <c r="H249" s="448" t="s">
        <v>968</v>
      </c>
      <c r="I249" s="455" t="s">
        <v>971</v>
      </c>
      <c r="J249" s="552" t="s">
        <v>2185</v>
      </c>
      <c r="K249" s="421" t="s">
        <v>2132</v>
      </c>
      <c r="L249" s="422">
        <f>O249/5</f>
        <v>175.86799999999999</v>
      </c>
      <c r="M249" s="423">
        <v>0</v>
      </c>
      <c r="N249" s="444">
        <v>39448</v>
      </c>
      <c r="O249" s="425">
        <v>879.34</v>
      </c>
      <c r="P249" s="428" t="s">
        <v>1732</v>
      </c>
      <c r="Q249" s="422">
        <f>584.724+87.044</f>
        <v>671.76800000000003</v>
      </c>
      <c r="R249" s="425"/>
      <c r="S249" s="425"/>
      <c r="T249" s="881">
        <v>41227</v>
      </c>
      <c r="U249" s="479">
        <v>40908</v>
      </c>
      <c r="V249" s="425">
        <v>703.47199999999998</v>
      </c>
      <c r="W249" s="400">
        <f t="shared" si="16"/>
        <v>0.95493210817203822</v>
      </c>
      <c r="X249" s="543" t="s">
        <v>1732</v>
      </c>
      <c r="Y249" s="391" t="s">
        <v>1361</v>
      </c>
      <c r="Z249" s="445" t="s">
        <v>700</v>
      </c>
      <c r="AA249" s="881">
        <v>40536</v>
      </c>
      <c r="AB249" s="431"/>
      <c r="AC249" s="431">
        <v>37791</v>
      </c>
      <c r="AD249" s="431">
        <v>39773</v>
      </c>
      <c r="AE249" s="431"/>
      <c r="AF249" s="431"/>
      <c r="AG249" s="420"/>
      <c r="AH249" s="420">
        <f>(194.5-175)*3</f>
        <v>58.5</v>
      </c>
      <c r="AI249" s="422">
        <f>418810/AH249</f>
        <v>7159.1452991452988</v>
      </c>
      <c r="AJ249" s="420"/>
      <c r="AK249" s="420"/>
      <c r="AL249" s="420"/>
      <c r="AM249" s="420"/>
      <c r="AN249" s="420"/>
      <c r="AO249" s="419"/>
      <c r="AP249" s="463"/>
      <c r="AQ249" s="51"/>
    </row>
    <row r="250" spans="1:48" s="474" customFormat="1" ht="12.75" customHeight="1">
      <c r="A250" s="467" t="s">
        <v>2211</v>
      </c>
      <c r="B250" s="756" t="s">
        <v>2171</v>
      </c>
      <c r="C250" s="445" t="s">
        <v>2186</v>
      </c>
      <c r="D250" s="449" t="s">
        <v>1587</v>
      </c>
      <c r="E250" s="445" t="s">
        <v>2183</v>
      </c>
      <c r="F250" s="802">
        <v>1</v>
      </c>
      <c r="G250" s="802"/>
      <c r="H250" s="490" t="s">
        <v>968</v>
      </c>
      <c r="I250" s="724" t="s">
        <v>971</v>
      </c>
      <c r="J250" s="552" t="s">
        <v>2185</v>
      </c>
      <c r="K250" s="490" t="s">
        <v>2132</v>
      </c>
      <c r="L250" s="845">
        <f>O250/5</f>
        <v>53.4</v>
      </c>
      <c r="M250" s="505">
        <v>0</v>
      </c>
      <c r="N250" s="479">
        <v>39448</v>
      </c>
      <c r="O250" s="804">
        <v>267</v>
      </c>
      <c r="P250" s="419" t="s">
        <v>1732</v>
      </c>
      <c r="Q250" s="845">
        <f>282.183+32.907</f>
        <v>315.08999999999997</v>
      </c>
      <c r="R250" s="478"/>
      <c r="S250" s="478"/>
      <c r="T250" s="880">
        <v>41241</v>
      </c>
      <c r="U250" s="479">
        <v>41241</v>
      </c>
      <c r="V250" s="478">
        <v>262.3183561643836</v>
      </c>
      <c r="W250" s="400">
        <f t="shared" si="16"/>
        <v>1.2011740413718766</v>
      </c>
      <c r="X250" s="543" t="s">
        <v>1314</v>
      </c>
      <c r="Y250" s="391" t="s">
        <v>1361</v>
      </c>
      <c r="Z250" s="532" t="s">
        <v>700</v>
      </c>
      <c r="AA250" s="880">
        <v>40536</v>
      </c>
      <c r="AB250" s="805"/>
      <c r="AC250" s="805">
        <v>37855</v>
      </c>
      <c r="AD250" s="805">
        <v>39766</v>
      </c>
      <c r="AE250" s="805"/>
      <c r="AF250" s="805"/>
      <c r="AG250" s="802"/>
      <c r="AH250" s="803">
        <f>22*4</f>
        <v>88</v>
      </c>
      <c r="AI250" s="845">
        <f>212113/AH250</f>
        <v>2410.375</v>
      </c>
      <c r="AJ250" s="802"/>
      <c r="AK250" s="802"/>
      <c r="AL250" s="802"/>
      <c r="AM250" s="802"/>
      <c r="AN250" s="802"/>
      <c r="AO250" s="480"/>
      <c r="AP250" s="818"/>
      <c r="AQ250" s="51"/>
    </row>
    <row r="251" spans="1:48" s="474" customFormat="1" ht="12.75" customHeight="1">
      <c r="A251" s="51" t="s">
        <v>1470</v>
      </c>
      <c r="B251" s="468" t="s">
        <v>2258</v>
      </c>
      <c r="C251" s="445" t="s">
        <v>2260</v>
      </c>
      <c r="D251" s="449" t="s">
        <v>1587</v>
      </c>
      <c r="E251" s="445" t="s">
        <v>1472</v>
      </c>
      <c r="F251" s="420">
        <v>1</v>
      </c>
      <c r="G251" s="449" t="s">
        <v>2773</v>
      </c>
      <c r="H251" s="421" t="s">
        <v>968</v>
      </c>
      <c r="I251" s="455" t="s">
        <v>981</v>
      </c>
      <c r="J251" s="725" t="s">
        <v>1173</v>
      </c>
      <c r="K251" s="421" t="s">
        <v>2001</v>
      </c>
      <c r="L251" s="425">
        <f>O251/3.5</f>
        <v>493.9577142857143</v>
      </c>
      <c r="M251" s="423">
        <v>20</v>
      </c>
      <c r="N251" s="444">
        <v>39965</v>
      </c>
      <c r="O251" s="424">
        <v>1728.8520000000001</v>
      </c>
      <c r="P251" s="419" t="s">
        <v>1731</v>
      </c>
      <c r="Q251" s="422">
        <f>547.593+543.483+311.211</f>
        <v>1402.287</v>
      </c>
      <c r="R251" s="425"/>
      <c r="S251" s="425"/>
      <c r="T251" s="881">
        <v>40703</v>
      </c>
      <c r="U251" s="444">
        <v>41274</v>
      </c>
      <c r="V251" s="425">
        <v>1720.7817340589229</v>
      </c>
      <c r="W251" s="400">
        <f t="shared" si="16"/>
        <v>0.81491276449822136</v>
      </c>
      <c r="X251" s="545" t="s">
        <v>1731</v>
      </c>
      <c r="Y251" s="419" t="s">
        <v>2261</v>
      </c>
      <c r="Z251" s="445" t="s">
        <v>1473</v>
      </c>
      <c r="AA251" s="935">
        <v>39567</v>
      </c>
      <c r="AB251" s="431">
        <v>40591</v>
      </c>
      <c r="AC251" s="431">
        <v>40584</v>
      </c>
      <c r="AD251" s="431">
        <v>39699</v>
      </c>
      <c r="AE251" s="431"/>
      <c r="AF251" s="431"/>
      <c r="AG251" s="420"/>
      <c r="AH251" s="432">
        <v>0</v>
      </c>
      <c r="AI251" s="422"/>
      <c r="AJ251" s="753"/>
      <c r="AK251" s="420"/>
      <c r="AL251" s="420"/>
      <c r="AM251" s="420"/>
      <c r="AN251" s="420"/>
      <c r="AO251" s="419"/>
      <c r="AP251" s="530"/>
      <c r="AQ251" s="782"/>
    </row>
    <row r="252" spans="1:48" s="474" customFormat="1" ht="12.75" customHeight="1">
      <c r="A252" s="467" t="s">
        <v>2327</v>
      </c>
      <c r="B252" s="756" t="s">
        <v>2344</v>
      </c>
      <c r="C252" s="445" t="s">
        <v>2346</v>
      </c>
      <c r="D252" s="449" t="s">
        <v>1587</v>
      </c>
      <c r="E252" s="445" t="s">
        <v>2347</v>
      </c>
      <c r="F252" s="802">
        <v>1</v>
      </c>
      <c r="G252" s="802"/>
      <c r="H252" s="490" t="s">
        <v>968</v>
      </c>
      <c r="I252" s="724" t="s">
        <v>970</v>
      </c>
      <c r="J252" s="552" t="s">
        <v>970</v>
      </c>
      <c r="K252" s="490" t="s">
        <v>2001</v>
      </c>
      <c r="L252" s="478">
        <v>332.96800000000002</v>
      </c>
      <c r="M252" s="505">
        <v>0</v>
      </c>
      <c r="N252" s="479">
        <v>40909</v>
      </c>
      <c r="O252" s="804">
        <v>332.96800000000002</v>
      </c>
      <c r="P252" s="727" t="s">
        <v>1732</v>
      </c>
      <c r="Q252" s="845"/>
      <c r="R252" s="478"/>
      <c r="S252" s="478"/>
      <c r="T252" s="880"/>
      <c r="U252" s="479"/>
      <c r="V252" s="478"/>
      <c r="W252" s="480"/>
      <c r="X252" s="503"/>
      <c r="Y252" s="445" t="s">
        <v>2349</v>
      </c>
      <c r="Z252" s="532" t="s">
        <v>2348</v>
      </c>
      <c r="AA252" s="880">
        <v>40620</v>
      </c>
      <c r="AB252" s="805"/>
      <c r="AC252" s="805">
        <v>40605</v>
      </c>
      <c r="AD252" s="805">
        <v>40548</v>
      </c>
      <c r="AE252" s="805"/>
      <c r="AF252" s="805"/>
      <c r="AG252" s="802"/>
      <c r="AH252" s="505">
        <f>43*2.3+34*3</f>
        <v>200.89999999999998</v>
      </c>
      <c r="AI252" s="804">
        <f>563000/AH252</f>
        <v>2802.3892483822801</v>
      </c>
      <c r="AJ252" s="916"/>
      <c r="AK252" s="802"/>
      <c r="AL252" s="802"/>
      <c r="AM252" s="802"/>
      <c r="AN252" s="802"/>
      <c r="AO252" s="480"/>
      <c r="AP252" s="787"/>
      <c r="AQ252" s="793"/>
    </row>
    <row r="253" spans="1:48" s="474" customFormat="1" ht="12.75" customHeight="1">
      <c r="A253" s="467" t="s">
        <v>2370</v>
      </c>
      <c r="B253" s="756" t="s">
        <v>2371</v>
      </c>
      <c r="C253" s="445" t="s">
        <v>2385</v>
      </c>
      <c r="D253" s="449" t="s">
        <v>1587</v>
      </c>
      <c r="E253" s="445" t="s">
        <v>2347</v>
      </c>
      <c r="F253" s="802">
        <v>1</v>
      </c>
      <c r="G253" s="802"/>
      <c r="H253" s="490" t="s">
        <v>968</v>
      </c>
      <c r="I253" s="724" t="s">
        <v>970</v>
      </c>
      <c r="J253" s="552" t="s">
        <v>970</v>
      </c>
      <c r="K253" s="844" t="s">
        <v>680</v>
      </c>
      <c r="L253" s="478">
        <f>O253/2</f>
        <v>64.730500000000006</v>
      </c>
      <c r="M253" s="505">
        <v>6</v>
      </c>
      <c r="N253" s="479">
        <v>40544</v>
      </c>
      <c r="O253" s="804">
        <v>129.46100000000001</v>
      </c>
      <c r="P253" s="727" t="s">
        <v>1732</v>
      </c>
      <c r="Q253" s="845"/>
      <c r="R253" s="478"/>
      <c r="S253" s="478"/>
      <c r="T253" s="880"/>
      <c r="U253" s="479"/>
      <c r="V253" s="478"/>
      <c r="W253" s="480"/>
      <c r="X253" s="503"/>
      <c r="Y253" s="419" t="s">
        <v>2386</v>
      </c>
      <c r="Z253" s="532" t="s">
        <v>2387</v>
      </c>
      <c r="AA253" s="880">
        <v>40624</v>
      </c>
      <c r="AB253" s="805"/>
      <c r="AC253" s="805"/>
      <c r="AD253" s="805">
        <v>40618</v>
      </c>
      <c r="AE253" s="805"/>
      <c r="AF253" s="805"/>
      <c r="AG253" s="802"/>
      <c r="AH253" s="803">
        <f>20*2.1</f>
        <v>42</v>
      </c>
      <c r="AI253" s="845">
        <f>87323/AH253</f>
        <v>2079.1190476190477</v>
      </c>
      <c r="AJ253" s="802"/>
      <c r="AK253" s="802"/>
      <c r="AL253" s="802"/>
      <c r="AM253" s="802"/>
      <c r="AN253" s="802"/>
      <c r="AO253" s="480"/>
      <c r="AP253" s="787"/>
      <c r="AQ253" s="51"/>
      <c r="AR253" s="820"/>
      <c r="AS253" s="820"/>
      <c r="AT253" s="820"/>
      <c r="AU253" s="820"/>
      <c r="AV253" s="464"/>
    </row>
    <row r="254" spans="1:48" s="474" customFormat="1" ht="12.75" customHeight="1">
      <c r="A254" s="467" t="s">
        <v>2388</v>
      </c>
      <c r="B254" s="756" t="s">
        <v>2389</v>
      </c>
      <c r="C254" s="445" t="s">
        <v>2390</v>
      </c>
      <c r="D254" s="449" t="s">
        <v>1587</v>
      </c>
      <c r="E254" s="445" t="s">
        <v>1627</v>
      </c>
      <c r="F254" s="802">
        <v>1</v>
      </c>
      <c r="G254" s="802"/>
      <c r="H254" s="533" t="s">
        <v>968</v>
      </c>
      <c r="I254" s="724" t="s">
        <v>971</v>
      </c>
      <c r="J254" s="552" t="s">
        <v>268</v>
      </c>
      <c r="K254" s="844" t="s">
        <v>680</v>
      </c>
      <c r="L254" s="478">
        <f>O254/4</f>
        <v>319.11200000000002</v>
      </c>
      <c r="M254" s="505">
        <v>6</v>
      </c>
      <c r="N254" s="479">
        <v>39814</v>
      </c>
      <c r="O254" s="804">
        <v>1276.4480000000001</v>
      </c>
      <c r="P254" s="727" t="s">
        <v>700</v>
      </c>
      <c r="Q254" s="845">
        <f>227.336</f>
        <v>227.33600000000001</v>
      </c>
      <c r="R254" s="478"/>
      <c r="S254" s="478"/>
      <c r="T254" s="880">
        <v>41264</v>
      </c>
      <c r="U254" s="479">
        <v>41243</v>
      </c>
      <c r="V254" s="478">
        <v>1236.6025935072248</v>
      </c>
      <c r="W254" s="400">
        <f>Q254/V254</f>
        <v>0.18383917452027551</v>
      </c>
      <c r="X254" s="1004" t="s">
        <v>700</v>
      </c>
      <c r="Y254" s="419" t="s">
        <v>425</v>
      </c>
      <c r="Z254" s="532" t="s">
        <v>2391</v>
      </c>
      <c r="AA254" s="880">
        <v>40625</v>
      </c>
      <c r="AB254" s="805"/>
      <c r="AC254" s="805"/>
      <c r="AD254" s="805">
        <v>39780</v>
      </c>
      <c r="AE254" s="805"/>
      <c r="AF254" s="805"/>
      <c r="AG254" s="802"/>
      <c r="AH254" s="803">
        <v>278.39999999999998</v>
      </c>
      <c r="AI254" s="845">
        <f>1532350/AH254</f>
        <v>5504.1307471264372</v>
      </c>
      <c r="AJ254" s="802"/>
      <c r="AK254" s="802"/>
      <c r="AL254" s="802"/>
      <c r="AM254" s="802"/>
      <c r="AN254" s="802"/>
      <c r="AO254" s="480" t="s">
        <v>2392</v>
      </c>
      <c r="AP254" s="787"/>
      <c r="AQ254" s="51"/>
    </row>
    <row r="255" spans="1:48" s="474" customFormat="1" ht="12.75" customHeight="1">
      <c r="A255" s="467" t="s">
        <v>3476</v>
      </c>
      <c r="B255" s="468" t="s">
        <v>3549</v>
      </c>
      <c r="C255" s="445" t="s">
        <v>3452</v>
      </c>
      <c r="D255" s="420" t="s">
        <v>1587</v>
      </c>
      <c r="E255" s="419" t="s">
        <v>3451</v>
      </c>
      <c r="F255" s="420">
        <v>1</v>
      </c>
      <c r="G255" s="420"/>
      <c r="H255" s="421" t="s">
        <v>968</v>
      </c>
      <c r="I255" s="455" t="s">
        <v>970</v>
      </c>
      <c r="J255" s="552" t="s">
        <v>970</v>
      </c>
      <c r="K255" s="490" t="s">
        <v>680</v>
      </c>
      <c r="L255" s="425">
        <v>134.47399999999999</v>
      </c>
      <c r="M255" s="423">
        <v>0</v>
      </c>
      <c r="N255" s="444">
        <v>40695</v>
      </c>
      <c r="O255" s="424">
        <v>188.26400000000001</v>
      </c>
      <c r="P255" s="513" t="s">
        <v>1731</v>
      </c>
      <c r="Q255" s="422"/>
      <c r="R255" s="419"/>
      <c r="S255" s="419"/>
      <c r="T255" s="881"/>
      <c r="U255" s="444"/>
      <c r="V255" s="425"/>
      <c r="W255" s="427"/>
      <c r="X255" s="543"/>
      <c r="Y255" s="419" t="s">
        <v>3454</v>
      </c>
      <c r="Z255" s="419" t="s">
        <v>2348</v>
      </c>
      <c r="AA255" s="935">
        <v>41191</v>
      </c>
      <c r="AB255" s="430"/>
      <c r="AC255" s="431">
        <v>41178</v>
      </c>
      <c r="AD255" s="431">
        <v>40946</v>
      </c>
      <c r="AE255" s="431"/>
      <c r="AF255" s="431"/>
      <c r="AG255" s="432"/>
      <c r="AH255" s="432">
        <f>3*15</f>
        <v>45</v>
      </c>
      <c r="AI255" s="422">
        <f>145930/AH255</f>
        <v>3242.8888888888887</v>
      </c>
      <c r="AJ255" s="827"/>
      <c r="AK255" s="432"/>
      <c r="AL255" s="432"/>
      <c r="AM255" s="432"/>
      <c r="AN255" s="432"/>
      <c r="AO255" s="419" t="s">
        <v>3453</v>
      </c>
      <c r="AP255" s="463"/>
      <c r="AQ255" s="782"/>
    </row>
    <row r="256" spans="1:48" s="474" customFormat="1" ht="12.75" customHeight="1">
      <c r="A256" s="467" t="s">
        <v>3292</v>
      </c>
      <c r="B256" s="468" t="s">
        <v>3715</v>
      </c>
      <c r="C256" s="445" t="s">
        <v>3277</v>
      </c>
      <c r="D256" s="449" t="s">
        <v>1587</v>
      </c>
      <c r="E256" s="445" t="s">
        <v>3278</v>
      </c>
      <c r="F256" s="420">
        <v>1</v>
      </c>
      <c r="G256" s="420"/>
      <c r="H256" s="421" t="s">
        <v>968</v>
      </c>
      <c r="I256" s="455" t="s">
        <v>981</v>
      </c>
      <c r="J256" s="725" t="s">
        <v>1173</v>
      </c>
      <c r="K256" s="450" t="s">
        <v>4</v>
      </c>
      <c r="L256" s="425">
        <v>645.61699999999996</v>
      </c>
      <c r="M256" s="423">
        <v>0</v>
      </c>
      <c r="N256" s="444">
        <v>40969</v>
      </c>
      <c r="O256" s="497">
        <v>538.01400000000001</v>
      </c>
      <c r="P256" s="445" t="s">
        <v>1314</v>
      </c>
      <c r="Q256" s="422"/>
      <c r="R256" s="425"/>
      <c r="S256" s="425"/>
      <c r="T256" s="881"/>
      <c r="U256" s="444"/>
      <c r="V256" s="425"/>
      <c r="W256" s="400"/>
      <c r="X256" s="543"/>
      <c r="Y256" s="445" t="s">
        <v>3279</v>
      </c>
      <c r="Z256" s="445" t="s">
        <v>3280</v>
      </c>
      <c r="AA256" s="881">
        <v>41145</v>
      </c>
      <c r="AB256" s="431"/>
      <c r="AC256" s="431">
        <v>41048</v>
      </c>
      <c r="AD256" s="431">
        <v>40934</v>
      </c>
      <c r="AE256" s="431"/>
      <c r="AF256" s="431"/>
      <c r="AG256" s="420"/>
      <c r="AH256" s="420">
        <v>0</v>
      </c>
      <c r="AI256" s="422"/>
      <c r="AJ256" s="827"/>
      <c r="AK256" s="432"/>
      <c r="AL256" s="420"/>
      <c r="AM256" s="420"/>
      <c r="AN256" s="420"/>
      <c r="AO256" s="532"/>
      <c r="AP256" s="463"/>
      <c r="AQ256" s="466"/>
    </row>
    <row r="257" spans="1:48" s="474" customFormat="1" ht="12.75" customHeight="1">
      <c r="A257" s="51" t="s">
        <v>1727</v>
      </c>
      <c r="B257" s="63">
        <v>29</v>
      </c>
      <c r="C257" s="51" t="s">
        <v>733</v>
      </c>
      <c r="D257" s="54" t="s">
        <v>1587</v>
      </c>
      <c r="E257" s="51"/>
      <c r="F257" s="54">
        <v>2</v>
      </c>
      <c r="G257" s="54"/>
      <c r="H257" s="61" t="s">
        <v>1712</v>
      </c>
      <c r="I257" s="68" t="s">
        <v>1735</v>
      </c>
      <c r="J257" s="54"/>
      <c r="K257" s="863" t="s">
        <v>2001</v>
      </c>
      <c r="L257" s="361">
        <f>O257/5</f>
        <v>145.56540000000001</v>
      </c>
      <c r="M257" s="92"/>
      <c r="N257" s="122">
        <v>39448</v>
      </c>
      <c r="O257" s="997">
        <f>140.68+147.238+152.226+141.555+146.128</f>
        <v>727.827</v>
      </c>
      <c r="P257" s="51" t="s">
        <v>1731</v>
      </c>
      <c r="Q257" s="888"/>
      <c r="R257" s="51"/>
      <c r="S257" s="51"/>
      <c r="T257" s="891"/>
      <c r="U257" s="122"/>
      <c r="V257" s="361"/>
      <c r="W257" s="382"/>
      <c r="X257" s="870"/>
      <c r="Y257" s="443" t="s">
        <v>1084</v>
      </c>
      <c r="Z257" s="51" t="s">
        <v>734</v>
      </c>
      <c r="AA257" s="1019">
        <v>39105</v>
      </c>
      <c r="AB257" s="945"/>
      <c r="AC257" s="864"/>
      <c r="AD257" s="864"/>
      <c r="AE257" s="864"/>
      <c r="AF257" s="864"/>
      <c r="AG257" s="198"/>
      <c r="AH257" s="198">
        <v>300</v>
      </c>
      <c r="AI257" s="888"/>
      <c r="AJ257" s="198"/>
      <c r="AK257" s="198"/>
      <c r="AL257" s="198"/>
      <c r="AM257" s="198"/>
      <c r="AN257" s="198"/>
      <c r="AO257" s="51" t="s">
        <v>736</v>
      </c>
      <c r="AP257" s="463"/>
      <c r="AQ257" s="51"/>
    </row>
    <row r="258" spans="1:48" s="474" customFormat="1" ht="12.75" customHeight="1">
      <c r="A258" s="51" t="s">
        <v>708</v>
      </c>
      <c r="B258" s="63">
        <v>32</v>
      </c>
      <c r="C258" s="51" t="s">
        <v>713</v>
      </c>
      <c r="D258" s="54" t="s">
        <v>1587</v>
      </c>
      <c r="E258" s="51"/>
      <c r="F258" s="54">
        <v>2</v>
      </c>
      <c r="G258" s="54"/>
      <c r="H258" s="61" t="s">
        <v>1712</v>
      </c>
      <c r="I258" s="68" t="s">
        <v>1735</v>
      </c>
      <c r="J258" s="54"/>
      <c r="K258" s="61" t="s">
        <v>680</v>
      </c>
      <c r="L258" s="361">
        <v>77.293000000000006</v>
      </c>
      <c r="M258" s="92"/>
      <c r="N258" s="122">
        <v>39448</v>
      </c>
      <c r="O258" s="942">
        <f>L258*5</f>
        <v>386.46500000000003</v>
      </c>
      <c r="P258" s="51" t="s">
        <v>1731</v>
      </c>
      <c r="Q258" s="888"/>
      <c r="R258" s="51"/>
      <c r="S258" s="51"/>
      <c r="T258" s="891"/>
      <c r="U258" s="122"/>
      <c r="V258" s="361"/>
      <c r="W258" s="382"/>
      <c r="X258" s="870"/>
      <c r="Y258" s="51" t="s">
        <v>1361</v>
      </c>
      <c r="Z258" s="51" t="s">
        <v>1362</v>
      </c>
      <c r="AA258" s="891">
        <v>39113</v>
      </c>
      <c r="AB258" s="864"/>
      <c r="AC258" s="864"/>
      <c r="AD258" s="864"/>
      <c r="AE258" s="864"/>
      <c r="AF258" s="864"/>
      <c r="AG258" s="198"/>
      <c r="AH258" s="198">
        <v>20</v>
      </c>
      <c r="AI258" s="888"/>
      <c r="AJ258" s="198"/>
      <c r="AK258" s="198"/>
      <c r="AL258" s="198"/>
      <c r="AM258" s="198"/>
      <c r="AN258" s="198"/>
      <c r="AO258" s="51"/>
      <c r="AP258" s="463"/>
      <c r="AQ258" s="466"/>
    </row>
    <row r="259" spans="1:48" s="474" customFormat="1" ht="12.75" customHeight="1">
      <c r="A259" s="51" t="s">
        <v>417</v>
      </c>
      <c r="B259" s="59">
        <v>143</v>
      </c>
      <c r="C259" s="302" t="s">
        <v>280</v>
      </c>
      <c r="D259" s="55" t="s">
        <v>1587</v>
      </c>
      <c r="E259" s="52" t="s">
        <v>85</v>
      </c>
      <c r="F259" s="54">
        <v>2</v>
      </c>
      <c r="G259" s="54"/>
      <c r="H259" s="61" t="s">
        <v>1712</v>
      </c>
      <c r="I259" s="68" t="s">
        <v>1082</v>
      </c>
      <c r="J259" s="54" t="s">
        <v>1404</v>
      </c>
      <c r="K259" s="58" t="s">
        <v>86</v>
      </c>
      <c r="L259" s="361">
        <v>73.59</v>
      </c>
      <c r="M259" s="92">
        <v>0</v>
      </c>
      <c r="N259" s="122">
        <v>40057</v>
      </c>
      <c r="O259" s="942">
        <v>316.774</v>
      </c>
      <c r="P259" s="51" t="s">
        <v>1486</v>
      </c>
      <c r="Q259" s="981"/>
      <c r="R259" s="52"/>
      <c r="S259" s="52"/>
      <c r="T259" s="882"/>
      <c r="U259" s="854"/>
      <c r="V259" s="385"/>
      <c r="W259" s="383"/>
      <c r="X259" s="482"/>
      <c r="Y259" s="51" t="s">
        <v>84</v>
      </c>
      <c r="Z259" s="51" t="s">
        <v>87</v>
      </c>
      <c r="AA259" s="1022">
        <v>39611</v>
      </c>
      <c r="AB259" s="944"/>
      <c r="AC259" s="946"/>
      <c r="AD259" s="946"/>
      <c r="AE259" s="946"/>
      <c r="AF259" s="946"/>
      <c r="AG259" s="198"/>
      <c r="AH259" s="198">
        <v>0</v>
      </c>
      <c r="AI259" s="888"/>
      <c r="AJ259" s="198"/>
      <c r="AK259" s="198"/>
      <c r="AL259" s="198"/>
      <c r="AM259" s="198"/>
      <c r="AN259" s="198"/>
      <c r="AO259" s="52"/>
      <c r="AP259" s="463"/>
      <c r="AQ259" s="64"/>
    </row>
    <row r="260" spans="1:48" s="474" customFormat="1" ht="12.75" customHeight="1">
      <c r="A260" s="51" t="s">
        <v>962</v>
      </c>
      <c r="B260" s="63">
        <v>27</v>
      </c>
      <c r="C260" s="436" t="s">
        <v>1403</v>
      </c>
      <c r="D260" s="492" t="s">
        <v>1176</v>
      </c>
      <c r="E260" s="436"/>
      <c r="F260" s="492">
        <v>2</v>
      </c>
      <c r="G260" s="492"/>
      <c r="H260" s="324" t="s">
        <v>1593</v>
      </c>
      <c r="I260" s="437" t="s">
        <v>1467</v>
      </c>
      <c r="J260" s="492"/>
      <c r="K260" s="867" t="s">
        <v>739</v>
      </c>
      <c r="L260" s="440">
        <f>59.559</f>
        <v>59.558999999999997</v>
      </c>
      <c r="M260" s="438"/>
      <c r="N260" s="439">
        <v>39448</v>
      </c>
      <c r="O260" s="1017">
        <v>297.79300000000001</v>
      </c>
      <c r="P260" s="436" t="s">
        <v>1732</v>
      </c>
      <c r="Q260" s="941"/>
      <c r="R260" s="436"/>
      <c r="S260" s="436"/>
      <c r="T260" s="893"/>
      <c r="U260" s="439"/>
      <c r="V260" s="440"/>
      <c r="W260" s="441"/>
      <c r="X260" s="843"/>
      <c r="Y260" s="436" t="s">
        <v>292</v>
      </c>
      <c r="Z260" s="436" t="s">
        <v>263</v>
      </c>
      <c r="AA260" s="893">
        <v>39100</v>
      </c>
      <c r="AB260" s="495"/>
      <c r="AC260" s="495"/>
      <c r="AD260" s="495"/>
      <c r="AE260" s="495"/>
      <c r="AF260" s="324" t="s">
        <v>1593</v>
      </c>
      <c r="AG260" s="1015"/>
      <c r="AH260" s="1015"/>
      <c r="AI260" s="941"/>
      <c r="AJ260" s="1015"/>
      <c r="AK260" s="1015"/>
      <c r="AL260" s="1015"/>
      <c r="AM260" s="1015"/>
      <c r="AN260" s="1015"/>
      <c r="AO260" s="853" t="s">
        <v>738</v>
      </c>
      <c r="AP260" s="783">
        <v>21.742999999999999</v>
      </c>
      <c r="AQ260" s="467" t="s">
        <v>2837</v>
      </c>
    </row>
    <row r="261" spans="1:48" s="474" customFormat="1" ht="12.75" customHeight="1">
      <c r="A261" s="51" t="s">
        <v>574</v>
      </c>
      <c r="B261" s="63">
        <v>33</v>
      </c>
      <c r="C261" s="436" t="s">
        <v>581</v>
      </c>
      <c r="D261" s="492" t="s">
        <v>1176</v>
      </c>
      <c r="E261" s="436"/>
      <c r="F261" s="492">
        <v>2</v>
      </c>
      <c r="G261" s="492"/>
      <c r="H261" s="324" t="s">
        <v>1593</v>
      </c>
      <c r="I261" s="437" t="s">
        <v>3238</v>
      </c>
      <c r="J261" s="995" t="s">
        <v>1943</v>
      </c>
      <c r="K261" s="867" t="s">
        <v>270</v>
      </c>
      <c r="L261" s="440">
        <v>114.767</v>
      </c>
      <c r="M261" s="438"/>
      <c r="N261" s="439">
        <v>39448</v>
      </c>
      <c r="O261" s="1017">
        <f>688.603-6.887</f>
        <v>681.71600000000001</v>
      </c>
      <c r="P261" s="436" t="s">
        <v>1732</v>
      </c>
      <c r="Q261" s="941"/>
      <c r="R261" s="436"/>
      <c r="S261" s="436"/>
      <c r="T261" s="893"/>
      <c r="U261" s="439"/>
      <c r="V261" s="440"/>
      <c r="W261" s="441"/>
      <c r="X261" s="843"/>
      <c r="Y261" s="436" t="s">
        <v>637</v>
      </c>
      <c r="Z261" s="436" t="s">
        <v>1005</v>
      </c>
      <c r="AA261" s="1021">
        <v>39113</v>
      </c>
      <c r="AB261" s="494"/>
      <c r="AC261" s="495"/>
      <c r="AD261" s="495"/>
      <c r="AE261" s="495"/>
      <c r="AF261" s="324" t="s">
        <v>1593</v>
      </c>
      <c r="AG261" s="1015"/>
      <c r="AH261" s="1015">
        <v>4</v>
      </c>
      <c r="AI261" s="941"/>
      <c r="AJ261" s="1015"/>
      <c r="AK261" s="1015"/>
      <c r="AL261" s="1015"/>
      <c r="AM261" s="1015"/>
      <c r="AN261" s="1015"/>
      <c r="AO261" s="436"/>
      <c r="AP261" s="463"/>
      <c r="AQ261" s="467"/>
    </row>
    <row r="262" spans="1:48" s="464" customFormat="1" ht="15.75" customHeight="1">
      <c r="A262" s="51" t="s">
        <v>579</v>
      </c>
      <c r="B262" s="63">
        <v>37</v>
      </c>
      <c r="C262" s="436" t="s">
        <v>864</v>
      </c>
      <c r="D262" s="492" t="s">
        <v>1176</v>
      </c>
      <c r="E262" s="436"/>
      <c r="F262" s="436">
        <v>2</v>
      </c>
      <c r="G262" s="492"/>
      <c r="H262" s="324" t="s">
        <v>1593</v>
      </c>
      <c r="I262" s="437" t="s">
        <v>1082</v>
      </c>
      <c r="J262" s="436" t="s">
        <v>1485</v>
      </c>
      <c r="K262" s="907" t="s">
        <v>1305</v>
      </c>
      <c r="L262" s="440">
        <v>15.43</v>
      </c>
      <c r="M262" s="438"/>
      <c r="N262" s="495">
        <v>39448</v>
      </c>
      <c r="O262" s="440">
        <v>77.150999999999996</v>
      </c>
      <c r="P262" s="1051" t="s">
        <v>1732</v>
      </c>
      <c r="Q262" s="941"/>
      <c r="R262" s="436"/>
      <c r="S262" s="436"/>
      <c r="T262" s="1002"/>
      <c r="U262" s="439"/>
      <c r="V262" s="440"/>
      <c r="W262" s="441"/>
      <c r="X262" s="843"/>
      <c r="Y262" s="436" t="s">
        <v>30</v>
      </c>
      <c r="Z262" s="436" t="s">
        <v>263</v>
      </c>
      <c r="AA262" s="1021">
        <v>39123</v>
      </c>
      <c r="AB262" s="1006"/>
      <c r="AC262" s="893"/>
      <c r="AD262" s="439"/>
      <c r="AE262" s="439"/>
      <c r="AF262" s="749" t="s">
        <v>1593</v>
      </c>
      <c r="AG262" s="438"/>
      <c r="AH262" s="438">
        <v>7</v>
      </c>
      <c r="AI262" s="440"/>
      <c r="AJ262" s="438"/>
      <c r="AK262" s="438"/>
      <c r="AL262" s="438"/>
      <c r="AM262" s="438"/>
      <c r="AN262" s="438"/>
      <c r="AO262" s="436"/>
      <c r="AP262" s="463"/>
      <c r="AQ262" s="466"/>
    </row>
    <row r="263" spans="1:48" s="474" customFormat="1" ht="12.75" customHeight="1">
      <c r="A263" s="51" t="s">
        <v>1574</v>
      </c>
      <c r="B263" s="59">
        <v>66</v>
      </c>
      <c r="C263" s="436" t="s">
        <v>984</v>
      </c>
      <c r="D263" s="492" t="s">
        <v>1176</v>
      </c>
      <c r="E263" s="436"/>
      <c r="F263" s="492">
        <v>2</v>
      </c>
      <c r="G263" s="492"/>
      <c r="H263" s="867" t="s">
        <v>1593</v>
      </c>
      <c r="I263" s="437" t="s">
        <v>1082</v>
      </c>
      <c r="J263" s="492"/>
      <c r="K263" s="867" t="s">
        <v>882</v>
      </c>
      <c r="L263" s="941">
        <v>367.57926800000001</v>
      </c>
      <c r="M263" s="438"/>
      <c r="N263" s="439">
        <v>39448</v>
      </c>
      <c r="O263" s="1017">
        <f>L263*5</f>
        <v>1837.89634</v>
      </c>
      <c r="P263" s="436" t="s">
        <v>1731</v>
      </c>
      <c r="Q263" s="941"/>
      <c r="R263" s="436"/>
      <c r="S263" s="436"/>
      <c r="T263" s="893"/>
      <c r="U263" s="439"/>
      <c r="V263" s="440"/>
      <c r="W263" s="441"/>
      <c r="X263" s="843"/>
      <c r="Y263" s="436" t="s">
        <v>40</v>
      </c>
      <c r="Z263" s="436" t="s">
        <v>988</v>
      </c>
      <c r="AA263" s="1021">
        <v>39281</v>
      </c>
      <c r="AB263" s="494"/>
      <c r="AC263" s="495"/>
      <c r="AD263" s="495"/>
      <c r="AE263" s="495"/>
      <c r="AF263" s="495"/>
      <c r="AG263" s="1015"/>
      <c r="AH263" s="1015"/>
      <c r="AI263" s="941"/>
      <c r="AJ263" s="1015"/>
      <c r="AK263" s="1015"/>
      <c r="AL263" s="1015"/>
      <c r="AM263" s="1015"/>
      <c r="AN263" s="1015"/>
      <c r="AO263" s="436" t="s">
        <v>986</v>
      </c>
      <c r="AP263" s="783">
        <v>29.32</v>
      </c>
      <c r="AQ263" s="467" t="s">
        <v>2835</v>
      </c>
    </row>
    <row r="264" spans="1:48" s="474" customFormat="1" ht="12.75" customHeight="1">
      <c r="A264" s="51" t="s">
        <v>484</v>
      </c>
      <c r="B264" s="59">
        <v>69</v>
      </c>
      <c r="C264" s="124" t="s">
        <v>512</v>
      </c>
      <c r="D264" s="323" t="s">
        <v>1176</v>
      </c>
      <c r="E264" s="124"/>
      <c r="F264" s="323">
        <v>2</v>
      </c>
      <c r="G264" s="323"/>
      <c r="H264" s="324" t="s">
        <v>1593</v>
      </c>
      <c r="I264" s="325" t="s">
        <v>1735</v>
      </c>
      <c r="J264" s="323"/>
      <c r="K264" s="990" t="s">
        <v>2001</v>
      </c>
      <c r="L264" s="940">
        <v>14.302</v>
      </c>
      <c r="M264" s="327"/>
      <c r="N264" s="326">
        <v>39448</v>
      </c>
      <c r="O264" s="1018">
        <f>L264*5</f>
        <v>71.509999999999991</v>
      </c>
      <c r="P264" s="124" t="s">
        <v>1732</v>
      </c>
      <c r="Q264" s="940"/>
      <c r="R264" s="124"/>
      <c r="S264" s="124"/>
      <c r="T264" s="892"/>
      <c r="U264" s="326"/>
      <c r="V264" s="376"/>
      <c r="W264" s="381"/>
      <c r="X264" s="871"/>
      <c r="Y264" s="124" t="s">
        <v>1365</v>
      </c>
      <c r="Z264" s="124" t="s">
        <v>835</v>
      </c>
      <c r="AA264" s="1065">
        <v>39283</v>
      </c>
      <c r="AB264" s="1020"/>
      <c r="AC264" s="872"/>
      <c r="AD264" s="872"/>
      <c r="AE264" s="872"/>
      <c r="AF264" s="324" t="s">
        <v>1593</v>
      </c>
      <c r="AG264" s="1016"/>
      <c r="AH264" s="1016"/>
      <c r="AI264" s="940"/>
      <c r="AJ264" s="1016"/>
      <c r="AK264" s="1016"/>
      <c r="AL264" s="1016"/>
      <c r="AM264" s="1016"/>
      <c r="AN264" s="1016"/>
      <c r="AO264" s="124" t="s">
        <v>513</v>
      </c>
      <c r="AP264" s="463"/>
      <c r="AQ264" s="51"/>
      <c r="AR264" s="820"/>
      <c r="AS264" s="820"/>
      <c r="AT264" s="820"/>
      <c r="AU264" s="820"/>
      <c r="AV264" s="464"/>
    </row>
    <row r="265" spans="1:48" s="474" customFormat="1" ht="12.75" customHeight="1">
      <c r="A265" s="51" t="s">
        <v>1097</v>
      </c>
      <c r="B265" s="59">
        <v>88</v>
      </c>
      <c r="C265" s="442" t="s">
        <v>1168</v>
      </c>
      <c r="D265" s="492" t="s">
        <v>1176</v>
      </c>
      <c r="E265" s="436"/>
      <c r="F265" s="492">
        <v>2</v>
      </c>
      <c r="G265" s="492"/>
      <c r="H265" s="324" t="s">
        <v>1593</v>
      </c>
      <c r="I265" s="437" t="s">
        <v>1548</v>
      </c>
      <c r="J265" s="492" t="s">
        <v>887</v>
      </c>
      <c r="K265" s="990" t="s">
        <v>2001</v>
      </c>
      <c r="L265" s="941">
        <v>61.097999999999999</v>
      </c>
      <c r="M265" s="438"/>
      <c r="N265" s="439">
        <v>39448</v>
      </c>
      <c r="O265" s="1017">
        <f>5*L265</f>
        <v>305.49</v>
      </c>
      <c r="P265" s="436" t="s">
        <v>1731</v>
      </c>
      <c r="Q265" s="941"/>
      <c r="R265" s="436"/>
      <c r="S265" s="436"/>
      <c r="T265" s="893"/>
      <c r="U265" s="439"/>
      <c r="V265" s="440"/>
      <c r="W265" s="441"/>
      <c r="X265" s="843"/>
      <c r="Y265" s="436" t="s">
        <v>1365</v>
      </c>
      <c r="Z265" s="436" t="s">
        <v>835</v>
      </c>
      <c r="AA265" s="1021">
        <v>39378</v>
      </c>
      <c r="AB265" s="1006"/>
      <c r="AC265" s="495"/>
      <c r="AD265" s="495"/>
      <c r="AE265" s="495"/>
      <c r="AF265" s="324" t="s">
        <v>1593</v>
      </c>
      <c r="AG265" s="1015"/>
      <c r="AH265" s="1015"/>
      <c r="AI265" s="941"/>
      <c r="AJ265" s="1015"/>
      <c r="AK265" s="1015"/>
      <c r="AL265" s="1015"/>
      <c r="AM265" s="1015"/>
      <c r="AN265" s="1015"/>
      <c r="AO265" s="436"/>
      <c r="AP265" s="463"/>
      <c r="AQ265" s="466"/>
    </row>
    <row r="266" spans="1:48" s="474" customFormat="1" ht="12.75" customHeight="1">
      <c r="A266" s="51" t="s">
        <v>916</v>
      </c>
      <c r="B266" s="59">
        <v>93</v>
      </c>
      <c r="C266" s="442" t="s">
        <v>1581</v>
      </c>
      <c r="D266" s="492" t="s">
        <v>1176</v>
      </c>
      <c r="E266" s="436"/>
      <c r="F266" s="492">
        <v>2</v>
      </c>
      <c r="G266" s="492"/>
      <c r="H266" s="324" t="s">
        <v>1593</v>
      </c>
      <c r="I266" s="437" t="s">
        <v>1588</v>
      </c>
      <c r="J266" s="492"/>
      <c r="K266" s="867" t="s">
        <v>882</v>
      </c>
      <c r="L266" s="941">
        <v>79.245999999999995</v>
      </c>
      <c r="M266" s="438"/>
      <c r="N266" s="439">
        <v>39448</v>
      </c>
      <c r="O266" s="1017">
        <f>5*L266</f>
        <v>396.22999999999996</v>
      </c>
      <c r="P266" s="436" t="s">
        <v>1486</v>
      </c>
      <c r="Q266" s="941"/>
      <c r="R266" s="436"/>
      <c r="S266" s="436"/>
      <c r="T266" s="893"/>
      <c r="U266" s="439"/>
      <c r="V266" s="440"/>
      <c r="W266" s="441"/>
      <c r="X266" s="843"/>
      <c r="Y266" s="436" t="s">
        <v>1084</v>
      </c>
      <c r="Z266" s="436" t="s">
        <v>1582</v>
      </c>
      <c r="AA266" s="1021">
        <v>39392</v>
      </c>
      <c r="AB266" s="494"/>
      <c r="AC266" s="495"/>
      <c r="AD266" s="495"/>
      <c r="AE266" s="495"/>
      <c r="AF266" s="495"/>
      <c r="AG266" s="1015"/>
      <c r="AH266" s="1015"/>
      <c r="AI266" s="941"/>
      <c r="AJ266" s="1015"/>
      <c r="AK266" s="1015"/>
      <c r="AL266" s="1015"/>
      <c r="AM266" s="1015"/>
      <c r="AN266" s="1015"/>
      <c r="AO266" s="436"/>
      <c r="AP266" s="783">
        <v>27.036000000000001</v>
      </c>
      <c r="AQ266" s="467" t="s">
        <v>2836</v>
      </c>
    </row>
    <row r="267" spans="1:48" s="474" customFormat="1" ht="30" customHeight="1">
      <c r="A267" s="51" t="s">
        <v>669</v>
      </c>
      <c r="B267" s="59">
        <v>99</v>
      </c>
      <c r="C267" s="207" t="s">
        <v>676</v>
      </c>
      <c r="D267" s="323" t="s">
        <v>1176</v>
      </c>
      <c r="E267" s="124"/>
      <c r="F267" s="323">
        <v>2</v>
      </c>
      <c r="G267" s="323"/>
      <c r="H267" s="324" t="s">
        <v>1593</v>
      </c>
      <c r="I267" s="325" t="s">
        <v>1588</v>
      </c>
      <c r="J267" s="323"/>
      <c r="K267" s="324" t="s">
        <v>677</v>
      </c>
      <c r="L267" s="940">
        <v>35.008000000000003</v>
      </c>
      <c r="M267" s="327"/>
      <c r="N267" s="326">
        <v>39448</v>
      </c>
      <c r="O267" s="1018">
        <f>5*L267</f>
        <v>175.04000000000002</v>
      </c>
      <c r="P267" s="124" t="s">
        <v>1732</v>
      </c>
      <c r="Q267" s="940"/>
      <c r="R267" s="124"/>
      <c r="S267" s="124"/>
      <c r="T267" s="892"/>
      <c r="U267" s="326"/>
      <c r="V267" s="376"/>
      <c r="W267" s="381"/>
      <c r="X267" s="871"/>
      <c r="Y267" s="124" t="s">
        <v>30</v>
      </c>
      <c r="Z267" s="124" t="s">
        <v>678</v>
      </c>
      <c r="AA267" s="1065">
        <v>39414</v>
      </c>
      <c r="AB267" s="1020"/>
      <c r="AC267" s="872"/>
      <c r="AD267" s="872"/>
      <c r="AE267" s="872"/>
      <c r="AF267" s="324" t="s">
        <v>1593</v>
      </c>
      <c r="AG267" s="1016"/>
      <c r="AH267" s="1016"/>
      <c r="AI267" s="940"/>
      <c r="AJ267" s="1016"/>
      <c r="AK267" s="1016"/>
      <c r="AL267" s="1016"/>
      <c r="AM267" s="1016"/>
      <c r="AN267" s="1016"/>
      <c r="AO267" s="124"/>
      <c r="AP267" s="463"/>
      <c r="AQ267" s="51"/>
      <c r="AR267" s="820"/>
      <c r="AS267" s="820"/>
      <c r="AT267" s="820"/>
      <c r="AU267" s="820"/>
      <c r="AV267" s="464"/>
    </row>
    <row r="268" spans="1:48" s="474" customFormat="1" ht="12.75" customHeight="1">
      <c r="A268" s="51" t="s">
        <v>1232</v>
      </c>
      <c r="B268" s="59">
        <v>102</v>
      </c>
      <c r="C268" s="207" t="s">
        <v>1241</v>
      </c>
      <c r="D268" s="323" t="s">
        <v>1176</v>
      </c>
      <c r="E268" s="124"/>
      <c r="F268" s="323">
        <v>2</v>
      </c>
      <c r="G268" s="323"/>
      <c r="H268" s="324" t="s">
        <v>1593</v>
      </c>
      <c r="I268" s="325" t="s">
        <v>1082</v>
      </c>
      <c r="J268" s="323" t="s">
        <v>1243</v>
      </c>
      <c r="K268" s="324" t="s">
        <v>1242</v>
      </c>
      <c r="L268" s="376">
        <v>53.877600000000001</v>
      </c>
      <c r="M268" s="327"/>
      <c r="N268" s="326">
        <v>39814</v>
      </c>
      <c r="O268" s="1018">
        <f>L268*4</f>
        <v>215.5104</v>
      </c>
      <c r="P268" s="124" t="s">
        <v>1732</v>
      </c>
      <c r="Q268" s="940"/>
      <c r="R268" s="124"/>
      <c r="S268" s="124"/>
      <c r="T268" s="892"/>
      <c r="U268" s="326"/>
      <c r="V268" s="376"/>
      <c r="W268" s="381"/>
      <c r="X268" s="871"/>
      <c r="Y268" s="124" t="s">
        <v>30</v>
      </c>
      <c r="Z268" s="124" t="s">
        <v>988</v>
      </c>
      <c r="AA268" s="1065">
        <v>39425</v>
      </c>
      <c r="AB268" s="1020"/>
      <c r="AC268" s="872"/>
      <c r="AD268" s="872"/>
      <c r="AE268" s="872"/>
      <c r="AF268" s="324" t="s">
        <v>1593</v>
      </c>
      <c r="AG268" s="1016"/>
      <c r="AH268" s="1016"/>
      <c r="AI268" s="940"/>
      <c r="AJ268" s="1016"/>
      <c r="AK268" s="1016"/>
      <c r="AL268" s="1016"/>
      <c r="AM268" s="1016"/>
      <c r="AN268" s="1016"/>
      <c r="AO268" s="124"/>
      <c r="AP268" s="463"/>
      <c r="AQ268" s="51"/>
    </row>
    <row r="269" spans="1:48" s="474" customFormat="1" ht="12.75" customHeight="1">
      <c r="A269" s="51" t="s">
        <v>1240</v>
      </c>
      <c r="B269" s="59">
        <v>107</v>
      </c>
      <c r="C269" s="207" t="s">
        <v>1296</v>
      </c>
      <c r="D269" s="323" t="s">
        <v>1176</v>
      </c>
      <c r="E269" s="124"/>
      <c r="F269" s="323">
        <v>2</v>
      </c>
      <c r="G269" s="323"/>
      <c r="H269" s="324" t="s">
        <v>1593</v>
      </c>
      <c r="I269" s="325" t="s">
        <v>1082</v>
      </c>
      <c r="J269" s="323" t="s">
        <v>1066</v>
      </c>
      <c r="K269" s="324" t="s">
        <v>1298</v>
      </c>
      <c r="L269" s="376">
        <v>36.531999999999996</v>
      </c>
      <c r="M269" s="327"/>
      <c r="N269" s="326">
        <v>39448</v>
      </c>
      <c r="O269" s="1018">
        <f>L269*5</f>
        <v>182.65999999999997</v>
      </c>
      <c r="P269" s="124" t="s">
        <v>1731</v>
      </c>
      <c r="Q269" s="940"/>
      <c r="R269" s="124"/>
      <c r="S269" s="124"/>
      <c r="T269" s="892"/>
      <c r="U269" s="326"/>
      <c r="V269" s="376"/>
      <c r="W269" s="381"/>
      <c r="X269" s="871"/>
      <c r="Y269" s="124" t="s">
        <v>1297</v>
      </c>
      <c r="Z269" s="124" t="s">
        <v>988</v>
      </c>
      <c r="AA269" s="1065">
        <v>39438</v>
      </c>
      <c r="AB269" s="1020"/>
      <c r="AC269" s="872"/>
      <c r="AD269" s="872"/>
      <c r="AE269" s="872"/>
      <c r="AF269" s="324" t="s">
        <v>1593</v>
      </c>
      <c r="AG269" s="1016"/>
      <c r="AH269" s="1016"/>
      <c r="AI269" s="940"/>
      <c r="AJ269" s="1016"/>
      <c r="AK269" s="1016"/>
      <c r="AL269" s="1016"/>
      <c r="AM269" s="1016"/>
      <c r="AN269" s="1016"/>
      <c r="AO269" s="124"/>
      <c r="AP269" s="783">
        <v>5.5270000000000001</v>
      </c>
      <c r="AQ269" s="467" t="s">
        <v>2838</v>
      </c>
    </row>
    <row r="270" spans="1:48" s="474" customFormat="1" ht="12.75" customHeight="1">
      <c r="A270" s="51" t="s">
        <v>66</v>
      </c>
      <c r="B270" s="59">
        <v>110</v>
      </c>
      <c r="C270" s="207" t="s">
        <v>71</v>
      </c>
      <c r="D270" s="323" t="s">
        <v>1176</v>
      </c>
      <c r="E270" s="124"/>
      <c r="F270" s="323">
        <v>2</v>
      </c>
      <c r="G270" s="323"/>
      <c r="H270" s="324" t="s">
        <v>1593</v>
      </c>
      <c r="I270" s="325" t="s">
        <v>1082</v>
      </c>
      <c r="J270" s="323" t="s">
        <v>1066</v>
      </c>
      <c r="K270" s="324" t="s">
        <v>1298</v>
      </c>
      <c r="L270" s="376">
        <v>83.164000000000001</v>
      </c>
      <c r="M270" s="327"/>
      <c r="N270" s="326">
        <v>39448</v>
      </c>
      <c r="O270" s="1018">
        <f>L270*5</f>
        <v>415.82</v>
      </c>
      <c r="P270" s="124" t="s">
        <v>1731</v>
      </c>
      <c r="Q270" s="940"/>
      <c r="R270" s="124"/>
      <c r="S270" s="124"/>
      <c r="T270" s="892"/>
      <c r="U270" s="326"/>
      <c r="V270" s="376"/>
      <c r="W270" s="381"/>
      <c r="X270" s="871"/>
      <c r="Y270" s="124" t="s">
        <v>1084</v>
      </c>
      <c r="Z270" s="124" t="s">
        <v>835</v>
      </c>
      <c r="AA270" s="1065">
        <v>39459</v>
      </c>
      <c r="AB270" s="1020"/>
      <c r="AC270" s="872"/>
      <c r="AD270" s="872"/>
      <c r="AE270" s="872"/>
      <c r="AF270" s="324" t="s">
        <v>1593</v>
      </c>
      <c r="AG270" s="1016"/>
      <c r="AH270" s="1016">
        <v>45</v>
      </c>
      <c r="AI270" s="940"/>
      <c r="AJ270" s="1016"/>
      <c r="AK270" s="1016"/>
      <c r="AL270" s="1016"/>
      <c r="AM270" s="1016"/>
      <c r="AN270" s="1016"/>
      <c r="AO270" s="124" t="s">
        <v>72</v>
      </c>
      <c r="AP270" s="463"/>
      <c r="AQ270" s="51"/>
    </row>
    <row r="271" spans="1:48" s="474" customFormat="1" ht="12.75" customHeight="1">
      <c r="A271" s="51" t="s">
        <v>192</v>
      </c>
      <c r="B271" s="59">
        <v>117</v>
      </c>
      <c r="C271" s="207" t="s">
        <v>221</v>
      </c>
      <c r="D271" s="323" t="s">
        <v>1176</v>
      </c>
      <c r="E271" s="124" t="s">
        <v>222</v>
      </c>
      <c r="F271" s="323">
        <v>2</v>
      </c>
      <c r="G271" s="323"/>
      <c r="H271" s="324" t="s">
        <v>1593</v>
      </c>
      <c r="I271" s="325" t="s">
        <v>256</v>
      </c>
      <c r="J271" s="323"/>
      <c r="K271" s="324" t="s">
        <v>677</v>
      </c>
      <c r="L271" s="376">
        <v>43.420999999999999</v>
      </c>
      <c r="M271" s="327"/>
      <c r="N271" s="326">
        <v>39448</v>
      </c>
      <c r="O271" s="1018">
        <f>L271*5</f>
        <v>217.10499999999999</v>
      </c>
      <c r="P271" s="124" t="s">
        <v>1486</v>
      </c>
      <c r="Q271" s="940"/>
      <c r="R271" s="124"/>
      <c r="S271" s="124"/>
      <c r="T271" s="892"/>
      <c r="U271" s="326"/>
      <c r="V271" s="376"/>
      <c r="W271" s="381"/>
      <c r="X271" s="871"/>
      <c r="Y271" s="124" t="s">
        <v>1084</v>
      </c>
      <c r="Z271" s="124" t="s">
        <v>908</v>
      </c>
      <c r="AA271" s="1065">
        <v>39515</v>
      </c>
      <c r="AB271" s="1020"/>
      <c r="AC271" s="872"/>
      <c r="AD271" s="872"/>
      <c r="AE271" s="872"/>
      <c r="AF271" s="324" t="s">
        <v>1593</v>
      </c>
      <c r="AG271" s="1016"/>
      <c r="AH271" s="1016">
        <v>0</v>
      </c>
      <c r="AI271" s="940"/>
      <c r="AJ271" s="1016"/>
      <c r="AK271" s="1016"/>
      <c r="AL271" s="1016"/>
      <c r="AM271" s="1016"/>
      <c r="AN271" s="1016"/>
      <c r="AO271" s="124"/>
      <c r="AP271" s="463"/>
      <c r="AQ271" s="782"/>
    </row>
    <row r="272" spans="1:48" s="474" customFormat="1" ht="12.75" customHeight="1">
      <c r="A272" s="51" t="s">
        <v>211</v>
      </c>
      <c r="B272" s="59">
        <v>128</v>
      </c>
      <c r="C272" s="442" t="s">
        <v>250</v>
      </c>
      <c r="D272" s="492" t="s">
        <v>1176</v>
      </c>
      <c r="E272" s="436" t="s">
        <v>251</v>
      </c>
      <c r="F272" s="492">
        <v>2</v>
      </c>
      <c r="G272" s="492"/>
      <c r="H272" s="324" t="s">
        <v>1593</v>
      </c>
      <c r="I272" s="437" t="s">
        <v>973</v>
      </c>
      <c r="J272" s="492"/>
      <c r="K272" s="867" t="s">
        <v>254</v>
      </c>
      <c r="L272" s="440">
        <v>306.05599999999998</v>
      </c>
      <c r="M272" s="438"/>
      <c r="N272" s="439">
        <v>39965</v>
      </c>
      <c r="O272" s="1017">
        <f>L272*3.4</f>
        <v>1040.5903999999998</v>
      </c>
      <c r="P272" s="436" t="s">
        <v>1731</v>
      </c>
      <c r="Q272" s="941"/>
      <c r="R272" s="436"/>
      <c r="S272" s="436"/>
      <c r="T272" s="893"/>
      <c r="U272" s="439"/>
      <c r="V272" s="440"/>
      <c r="W272" s="441"/>
      <c r="X272" s="843"/>
      <c r="Y272" s="436" t="s">
        <v>1084</v>
      </c>
      <c r="Z272" s="436" t="s">
        <v>835</v>
      </c>
      <c r="AA272" s="1021">
        <v>39535</v>
      </c>
      <c r="AB272" s="494"/>
      <c r="AC272" s="495"/>
      <c r="AD272" s="495"/>
      <c r="AE272" s="495"/>
      <c r="AF272" s="324" t="s">
        <v>1593</v>
      </c>
      <c r="AG272" s="1015"/>
      <c r="AH272" s="1015">
        <v>0</v>
      </c>
      <c r="AI272" s="941"/>
      <c r="AJ272" s="1015"/>
      <c r="AK272" s="1015"/>
      <c r="AL272" s="1015"/>
      <c r="AM272" s="1015"/>
      <c r="AN272" s="1015"/>
      <c r="AO272" s="436"/>
      <c r="AP272" s="463"/>
      <c r="AQ272" s="64"/>
      <c r="AR272" s="464"/>
      <c r="AS272" s="464"/>
      <c r="AT272" s="464"/>
      <c r="AU272" s="464"/>
      <c r="AV272" s="464"/>
    </row>
    <row r="273" spans="1:48" s="474" customFormat="1" ht="12.75" customHeight="1">
      <c r="A273" s="51" t="s">
        <v>212</v>
      </c>
      <c r="B273" s="59">
        <v>129</v>
      </c>
      <c r="C273" s="442" t="s">
        <v>252</v>
      </c>
      <c r="D273" s="492" t="s">
        <v>1176</v>
      </c>
      <c r="E273" s="436" t="s">
        <v>253</v>
      </c>
      <c r="F273" s="492">
        <v>2</v>
      </c>
      <c r="G273" s="492"/>
      <c r="H273" s="324" t="s">
        <v>1593</v>
      </c>
      <c r="I273" s="437" t="s">
        <v>256</v>
      </c>
      <c r="J273" s="492"/>
      <c r="K273" s="990" t="s">
        <v>2001</v>
      </c>
      <c r="L273" s="440">
        <v>11.52</v>
      </c>
      <c r="M273" s="438"/>
      <c r="N273" s="439">
        <v>39448</v>
      </c>
      <c r="O273" s="1017">
        <f>L273*5</f>
        <v>57.599999999999994</v>
      </c>
      <c r="P273" s="436" t="s">
        <v>1486</v>
      </c>
      <c r="Q273" s="941"/>
      <c r="R273" s="436"/>
      <c r="S273" s="436"/>
      <c r="T273" s="893"/>
      <c r="U273" s="439"/>
      <c r="V273" s="440"/>
      <c r="W273" s="441"/>
      <c r="X273" s="843"/>
      <c r="Y273" s="436" t="s">
        <v>1084</v>
      </c>
      <c r="Z273" s="436" t="s">
        <v>835</v>
      </c>
      <c r="AA273" s="1021">
        <v>39535</v>
      </c>
      <c r="AB273" s="494"/>
      <c r="AC273" s="495"/>
      <c r="AD273" s="495"/>
      <c r="AE273" s="495"/>
      <c r="AF273" s="324" t="s">
        <v>1593</v>
      </c>
      <c r="AG273" s="1015"/>
      <c r="AH273" s="1015">
        <v>0</v>
      </c>
      <c r="AI273" s="941"/>
      <c r="AJ273" s="1015"/>
      <c r="AK273" s="1015"/>
      <c r="AL273" s="1015"/>
      <c r="AM273" s="1015"/>
      <c r="AN273" s="1015"/>
      <c r="AO273" s="436"/>
      <c r="AP273" s="463"/>
      <c r="AQ273" s="51"/>
    </row>
    <row r="274" spans="1:48" s="474" customFormat="1" ht="12.75" customHeight="1">
      <c r="A274" s="51" t="s">
        <v>124</v>
      </c>
      <c r="B274" s="59">
        <v>130</v>
      </c>
      <c r="C274" s="442" t="s">
        <v>128</v>
      </c>
      <c r="D274" s="492" t="s">
        <v>1176</v>
      </c>
      <c r="E274" s="436" t="s">
        <v>253</v>
      </c>
      <c r="F274" s="492">
        <v>2</v>
      </c>
      <c r="G274" s="492"/>
      <c r="H274" s="324" t="s">
        <v>1593</v>
      </c>
      <c r="I274" s="437" t="s">
        <v>845</v>
      </c>
      <c r="J274" s="492" t="s">
        <v>346</v>
      </c>
      <c r="K274" s="867" t="s">
        <v>842</v>
      </c>
      <c r="L274" s="440">
        <v>598.19399999999996</v>
      </c>
      <c r="M274" s="438"/>
      <c r="N274" s="439">
        <v>39448</v>
      </c>
      <c r="O274" s="1017">
        <f>L274*5</f>
        <v>2990.97</v>
      </c>
      <c r="P274" s="436" t="s">
        <v>1732</v>
      </c>
      <c r="Q274" s="941"/>
      <c r="R274" s="436"/>
      <c r="S274" s="436"/>
      <c r="T274" s="893"/>
      <c r="U274" s="439"/>
      <c r="V274" s="440"/>
      <c r="W274" s="441"/>
      <c r="X274" s="843"/>
      <c r="Y274" s="436" t="s">
        <v>650</v>
      </c>
      <c r="Z274" s="436" t="s">
        <v>1286</v>
      </c>
      <c r="AA274" s="1021">
        <v>39541</v>
      </c>
      <c r="AB274" s="494"/>
      <c r="AC274" s="495"/>
      <c r="AD274" s="495"/>
      <c r="AE274" s="495"/>
      <c r="AF274" s="324" t="s">
        <v>1593</v>
      </c>
      <c r="AG274" s="1015"/>
      <c r="AH274" s="1015">
        <v>0</v>
      </c>
      <c r="AI274" s="941"/>
      <c r="AJ274" s="1015"/>
      <c r="AK274" s="1015"/>
      <c r="AL274" s="1015"/>
      <c r="AM274" s="1015"/>
      <c r="AN274" s="1015"/>
      <c r="AO274" s="436"/>
      <c r="AP274" s="463"/>
      <c r="AQ274" s="466"/>
    </row>
    <row r="275" spans="1:48" s="474" customFormat="1" ht="12.75" customHeight="1">
      <c r="A275" s="51" t="s">
        <v>127</v>
      </c>
      <c r="B275" s="59">
        <v>133</v>
      </c>
      <c r="C275" s="442" t="s">
        <v>134</v>
      </c>
      <c r="D275" s="492" t="s">
        <v>1176</v>
      </c>
      <c r="E275" s="436" t="s">
        <v>135</v>
      </c>
      <c r="F275" s="492">
        <v>2</v>
      </c>
      <c r="G275" s="492"/>
      <c r="H275" s="324" t="s">
        <v>1593</v>
      </c>
      <c r="I275" s="437" t="s">
        <v>1082</v>
      </c>
      <c r="J275" s="989" t="s">
        <v>1066</v>
      </c>
      <c r="K275" s="990" t="s">
        <v>2001</v>
      </c>
      <c r="L275" s="440">
        <v>64.233000000000004</v>
      </c>
      <c r="M275" s="438"/>
      <c r="N275" s="439">
        <v>39448</v>
      </c>
      <c r="O275" s="1017">
        <f>L275*5</f>
        <v>321.16500000000002</v>
      </c>
      <c r="P275" s="436" t="s">
        <v>1731</v>
      </c>
      <c r="Q275" s="941"/>
      <c r="R275" s="436"/>
      <c r="S275" s="436"/>
      <c r="T275" s="893"/>
      <c r="U275" s="439"/>
      <c r="V275" s="440"/>
      <c r="W275" s="441"/>
      <c r="X275" s="843"/>
      <c r="Y275" s="436" t="s">
        <v>1084</v>
      </c>
      <c r="Z275" s="436" t="s">
        <v>835</v>
      </c>
      <c r="AA275" s="1021">
        <v>39549</v>
      </c>
      <c r="AB275" s="494"/>
      <c r="AC275" s="495"/>
      <c r="AD275" s="495"/>
      <c r="AE275" s="495"/>
      <c r="AF275" s="324" t="s">
        <v>1593</v>
      </c>
      <c r="AG275" s="1015"/>
      <c r="AH275" s="1015">
        <v>0</v>
      </c>
      <c r="AI275" s="941"/>
      <c r="AJ275" s="1015"/>
      <c r="AK275" s="1015"/>
      <c r="AL275" s="1015"/>
      <c r="AM275" s="1015"/>
      <c r="AN275" s="1015"/>
      <c r="AO275" s="436"/>
      <c r="AP275" s="463"/>
      <c r="AQ275" s="51"/>
      <c r="AR275" s="820"/>
      <c r="AS275" s="820"/>
      <c r="AT275" s="820"/>
      <c r="AU275" s="820"/>
      <c r="AV275" s="464"/>
    </row>
    <row r="276" spans="1:48" s="474" customFormat="1" ht="12.75" customHeight="1">
      <c r="A276" s="51" t="s">
        <v>1144</v>
      </c>
      <c r="B276" s="59">
        <v>136</v>
      </c>
      <c r="C276" s="207" t="s">
        <v>1150</v>
      </c>
      <c r="D276" s="323" t="s">
        <v>1176</v>
      </c>
      <c r="E276" s="124" t="s">
        <v>1151</v>
      </c>
      <c r="F276" s="323">
        <v>2</v>
      </c>
      <c r="G276" s="323"/>
      <c r="H276" s="324" t="s">
        <v>1593</v>
      </c>
      <c r="I276" s="325" t="s">
        <v>1467</v>
      </c>
      <c r="J276" s="323" t="s">
        <v>1155</v>
      </c>
      <c r="K276" s="324" t="s">
        <v>1152</v>
      </c>
      <c r="L276" s="376">
        <v>103.77</v>
      </c>
      <c r="M276" s="327">
        <v>10</v>
      </c>
      <c r="N276" s="326">
        <v>39448</v>
      </c>
      <c r="O276" s="1018">
        <f>L276*5</f>
        <v>518.85</v>
      </c>
      <c r="P276" s="124" t="s">
        <v>1314</v>
      </c>
      <c r="Q276" s="940"/>
      <c r="R276" s="124"/>
      <c r="S276" s="124"/>
      <c r="T276" s="892"/>
      <c r="U276" s="326"/>
      <c r="V276" s="376"/>
      <c r="W276" s="381"/>
      <c r="X276" s="871"/>
      <c r="Y276" s="124" t="s">
        <v>358</v>
      </c>
      <c r="Z276" s="124" t="s">
        <v>1153</v>
      </c>
      <c r="AA276" s="1065">
        <v>39574</v>
      </c>
      <c r="AB276" s="1020"/>
      <c r="AC276" s="872"/>
      <c r="AD276" s="872"/>
      <c r="AE276" s="872"/>
      <c r="AF276" s="324" t="s">
        <v>1593</v>
      </c>
      <c r="AG276" s="1016"/>
      <c r="AH276" s="1016">
        <v>0</v>
      </c>
      <c r="AI276" s="940"/>
      <c r="AJ276" s="1016"/>
      <c r="AK276" s="1016"/>
      <c r="AL276" s="1016"/>
      <c r="AM276" s="1016"/>
      <c r="AN276" s="1016"/>
      <c r="AO276" s="124" t="s">
        <v>1154</v>
      </c>
      <c r="AP276" s="463"/>
      <c r="AQ276" s="466"/>
    </row>
    <row r="277" spans="1:48" s="474" customFormat="1" ht="12.75" customHeight="1">
      <c r="A277" s="51" t="s">
        <v>645</v>
      </c>
      <c r="B277" s="54">
        <v>168</v>
      </c>
      <c r="C277" s="207" t="s">
        <v>646</v>
      </c>
      <c r="D277" s="323" t="s">
        <v>1176</v>
      </c>
      <c r="E277" s="124" t="s">
        <v>647</v>
      </c>
      <c r="F277" s="323">
        <v>2</v>
      </c>
      <c r="G277" s="323"/>
      <c r="H277" s="324" t="s">
        <v>1593</v>
      </c>
      <c r="I277" s="325" t="s">
        <v>1489</v>
      </c>
      <c r="J277" s="323" t="s">
        <v>1709</v>
      </c>
      <c r="K277" s="324" t="s">
        <v>689</v>
      </c>
      <c r="L277" s="940">
        <v>210.501</v>
      </c>
      <c r="M277" s="327">
        <v>15</v>
      </c>
      <c r="N277" s="326">
        <v>40026</v>
      </c>
      <c r="O277" s="1018">
        <f>840</f>
        <v>840</v>
      </c>
      <c r="P277" s="124" t="s">
        <v>728</v>
      </c>
      <c r="Q277" s="940"/>
      <c r="R277" s="124"/>
      <c r="S277" s="124"/>
      <c r="T277" s="892"/>
      <c r="U277" s="326"/>
      <c r="V277" s="376"/>
      <c r="W277" s="381"/>
      <c r="X277" s="871"/>
      <c r="Y277" s="755" t="s">
        <v>1084</v>
      </c>
      <c r="Z277" s="124" t="s">
        <v>30</v>
      </c>
      <c r="AA277" s="1065">
        <v>39788</v>
      </c>
      <c r="AB277" s="1020"/>
      <c r="AC277" s="872"/>
      <c r="AD277" s="872"/>
      <c r="AE277" s="1020"/>
      <c r="AF277" s="324" t="s">
        <v>1593</v>
      </c>
      <c r="AG277" s="1016"/>
      <c r="AH277" s="1016">
        <f>1314/8760</f>
        <v>0.15</v>
      </c>
      <c r="AI277" s="940">
        <v>8000</v>
      </c>
      <c r="AJ277" s="940"/>
      <c r="AK277" s="940"/>
      <c r="AL277" s="940"/>
      <c r="AM277" s="1016"/>
      <c r="AN277" s="940"/>
      <c r="AO277" s="124"/>
      <c r="AP277" s="463"/>
      <c r="AQ277" s="51"/>
    </row>
    <row r="278" spans="1:48" s="474" customFormat="1" ht="12.75" customHeight="1">
      <c r="A278" s="51" t="s">
        <v>1555</v>
      </c>
      <c r="B278" s="63">
        <v>174</v>
      </c>
      <c r="C278" s="442" t="s">
        <v>1567</v>
      </c>
      <c r="D278" s="492" t="s">
        <v>1176</v>
      </c>
      <c r="E278" s="436" t="s">
        <v>357</v>
      </c>
      <c r="F278" s="492">
        <v>2</v>
      </c>
      <c r="G278" s="492"/>
      <c r="H278" s="324" t="s">
        <v>1593</v>
      </c>
      <c r="I278" s="437" t="s">
        <v>1082</v>
      </c>
      <c r="J278" s="1035" t="s">
        <v>1357</v>
      </c>
      <c r="K278" s="867"/>
      <c r="L278" s="941">
        <f>O278/5</f>
        <v>159.7784</v>
      </c>
      <c r="M278" s="438">
        <v>0</v>
      </c>
      <c r="N278" s="439">
        <v>39448</v>
      </c>
      <c r="O278" s="1017">
        <f>798.892</f>
        <v>798.89200000000005</v>
      </c>
      <c r="P278" s="436" t="s">
        <v>1731</v>
      </c>
      <c r="Q278" s="941"/>
      <c r="R278" s="436"/>
      <c r="S278" s="436"/>
      <c r="T278" s="893"/>
      <c r="U278" s="439"/>
      <c r="V278" s="440"/>
      <c r="W278" s="441"/>
      <c r="X278" s="843"/>
      <c r="Y278" s="436" t="s">
        <v>1365</v>
      </c>
      <c r="Z278" s="436" t="s">
        <v>835</v>
      </c>
      <c r="AA278" s="1021">
        <v>39896</v>
      </c>
      <c r="AB278" s="494"/>
      <c r="AC278" s="495"/>
      <c r="AD278" s="495"/>
      <c r="AE278" s="495"/>
      <c r="AF278" s="324" t="s">
        <v>1593</v>
      </c>
      <c r="AG278" s="1015"/>
      <c r="AH278" s="1015"/>
      <c r="AI278" s="941"/>
      <c r="AJ278" s="941"/>
      <c r="AK278" s="941"/>
      <c r="AL278" s="941"/>
      <c r="AM278" s="1015"/>
      <c r="AN278" s="941"/>
      <c r="AO278" s="436"/>
      <c r="AP278" s="463"/>
      <c r="AQ278" s="782"/>
    </row>
    <row r="279" spans="1:48" s="474" customFormat="1" ht="12.75" customHeight="1">
      <c r="A279" s="51" t="s">
        <v>1104</v>
      </c>
      <c r="B279" s="63">
        <v>179</v>
      </c>
      <c r="C279" s="442" t="s">
        <v>1128</v>
      </c>
      <c r="D279" s="492" t="s">
        <v>1176</v>
      </c>
      <c r="E279" s="436" t="s">
        <v>594</v>
      </c>
      <c r="F279" s="492">
        <v>2</v>
      </c>
      <c r="G279" s="492"/>
      <c r="H279" s="324" t="s">
        <v>1593</v>
      </c>
      <c r="I279" s="437" t="s">
        <v>971</v>
      </c>
      <c r="J279" s="1035" t="s">
        <v>1321</v>
      </c>
      <c r="K279" s="867" t="s">
        <v>680</v>
      </c>
      <c r="L279" s="941">
        <v>202.67775</v>
      </c>
      <c r="M279" s="438">
        <v>0</v>
      </c>
      <c r="N279" s="439">
        <v>39814</v>
      </c>
      <c r="O279" s="1017">
        <f>L279*4</f>
        <v>810.71100000000001</v>
      </c>
      <c r="P279" s="436" t="s">
        <v>1486</v>
      </c>
      <c r="Q279" s="941"/>
      <c r="R279" s="436"/>
      <c r="S279" s="436"/>
      <c r="T279" s="893"/>
      <c r="U279" s="439"/>
      <c r="V279" s="440"/>
      <c r="W279" s="441"/>
      <c r="X279" s="843"/>
      <c r="Y279" s="436" t="s">
        <v>1084</v>
      </c>
      <c r="Z279" s="436" t="s">
        <v>596</v>
      </c>
      <c r="AA279" s="1021">
        <v>39928</v>
      </c>
      <c r="AB279" s="494"/>
      <c r="AC279" s="495"/>
      <c r="AD279" s="495"/>
      <c r="AE279" s="495"/>
      <c r="AF279" s="867" t="s">
        <v>1593</v>
      </c>
      <c r="AG279" s="1015"/>
      <c r="AH279" s="1015">
        <f>3*21.7</f>
        <v>65.099999999999994</v>
      </c>
      <c r="AI279" s="941">
        <f>247000/AH279</f>
        <v>3794.1628264208912</v>
      </c>
      <c r="AJ279" s="941"/>
      <c r="AK279" s="941"/>
      <c r="AL279" s="941"/>
      <c r="AM279" s="1015"/>
      <c r="AN279" s="941"/>
      <c r="AO279" s="436" t="s">
        <v>595</v>
      </c>
      <c r="AP279" s="463"/>
      <c r="AQ279" s="51"/>
    </row>
    <row r="280" spans="1:48" s="474" customFormat="1" ht="12.75" customHeight="1">
      <c r="A280" s="51" t="s">
        <v>1608</v>
      </c>
      <c r="B280" s="63">
        <v>186</v>
      </c>
      <c r="C280" s="442" t="s">
        <v>479</v>
      </c>
      <c r="D280" s="492" t="s">
        <v>1176</v>
      </c>
      <c r="E280" s="436" t="s">
        <v>554</v>
      </c>
      <c r="F280" s="492">
        <v>2</v>
      </c>
      <c r="G280" s="492"/>
      <c r="H280" s="324" t="s">
        <v>1593</v>
      </c>
      <c r="I280" s="437" t="s">
        <v>256</v>
      </c>
      <c r="J280" s="492" t="s">
        <v>660</v>
      </c>
      <c r="K280" s="990" t="s">
        <v>2001</v>
      </c>
      <c r="L280" s="941">
        <v>122.277</v>
      </c>
      <c r="M280" s="438">
        <v>0</v>
      </c>
      <c r="N280" s="439">
        <v>39448</v>
      </c>
      <c r="O280" s="941">
        <f>L280*5</f>
        <v>611.38499999999999</v>
      </c>
      <c r="P280" s="436" t="s">
        <v>1486</v>
      </c>
      <c r="Q280" s="941"/>
      <c r="R280" s="436"/>
      <c r="S280" s="436"/>
      <c r="T280" s="893"/>
      <c r="U280" s="439"/>
      <c r="V280" s="440"/>
      <c r="W280" s="441"/>
      <c r="X280" s="843"/>
      <c r="Y280" s="436" t="s">
        <v>1365</v>
      </c>
      <c r="Z280" s="436" t="s">
        <v>835</v>
      </c>
      <c r="AA280" s="1021">
        <v>39997</v>
      </c>
      <c r="AB280" s="494"/>
      <c r="AC280" s="495"/>
      <c r="AD280" s="495"/>
      <c r="AE280" s="495"/>
      <c r="AF280" s="324" t="s">
        <v>1593</v>
      </c>
      <c r="AG280" s="1015"/>
      <c r="AH280" s="1015">
        <v>75</v>
      </c>
      <c r="AI280" s="941">
        <f>595020/AH280</f>
        <v>7933.6</v>
      </c>
      <c r="AJ280" s="1015"/>
      <c r="AK280" s="1015"/>
      <c r="AL280" s="1015"/>
      <c r="AM280" s="1015"/>
      <c r="AN280" s="1015"/>
      <c r="AO280" s="436"/>
      <c r="AP280" s="463"/>
      <c r="AQ280" s="51"/>
    </row>
    <row r="281" spans="1:48" s="474" customFormat="1" ht="12.75" customHeight="1">
      <c r="A281" s="467" t="s">
        <v>2936</v>
      </c>
      <c r="B281" s="468">
        <v>311</v>
      </c>
      <c r="C281" s="445" t="s">
        <v>2937</v>
      </c>
      <c r="D281" s="449" t="s">
        <v>1176</v>
      </c>
      <c r="E281" s="445" t="s">
        <v>2938</v>
      </c>
      <c r="F281" s="420">
        <v>2</v>
      </c>
      <c r="G281" s="420"/>
      <c r="H281" s="421" t="s">
        <v>968</v>
      </c>
      <c r="I281" s="507" t="s">
        <v>3656</v>
      </c>
      <c r="J281" s="552" t="s">
        <v>4046</v>
      </c>
      <c r="K281" s="490" t="s">
        <v>2001</v>
      </c>
      <c r="L281" s="422">
        <v>156.43799999999999</v>
      </c>
      <c r="M281" s="423">
        <v>40</v>
      </c>
      <c r="N281" s="444">
        <v>39967</v>
      </c>
      <c r="O281" s="424">
        <v>560.56899999999996</v>
      </c>
      <c r="P281" s="727" t="s">
        <v>1732</v>
      </c>
      <c r="Q281" s="422">
        <v>519.51199999999994</v>
      </c>
      <c r="R281" s="425"/>
      <c r="S281" s="425"/>
      <c r="T281" s="881">
        <v>41374</v>
      </c>
      <c r="U281" s="444">
        <v>41213</v>
      </c>
      <c r="V281" s="425">
        <v>425.72909003565388</v>
      </c>
      <c r="W281" s="400">
        <f>Q281/V281</f>
        <v>1.2202877655282893</v>
      </c>
      <c r="X281" s="1005" t="s">
        <v>1732</v>
      </c>
      <c r="Y281" s="445" t="s">
        <v>3655</v>
      </c>
      <c r="Z281" s="445" t="s">
        <v>3654</v>
      </c>
      <c r="AA281" s="881">
        <v>40939</v>
      </c>
      <c r="AB281" s="431"/>
      <c r="AC281" s="431">
        <v>41078</v>
      </c>
      <c r="AD281" s="431">
        <v>41212</v>
      </c>
      <c r="AE281" s="431">
        <v>41278</v>
      </c>
      <c r="AF281" s="431"/>
      <c r="AG281" s="420"/>
      <c r="AH281" s="420">
        <v>0</v>
      </c>
      <c r="AI281" s="420"/>
      <c r="AJ281" s="420"/>
      <c r="AK281" s="420"/>
      <c r="AL281" s="420"/>
      <c r="AM281" s="420"/>
      <c r="AN281" s="420"/>
      <c r="AO281" s="445" t="s">
        <v>3939</v>
      </c>
      <c r="AP281" s="463"/>
      <c r="AQ281" s="466"/>
      <c r="AR281" s="489"/>
      <c r="AS281" s="489"/>
      <c r="AT281" s="489"/>
      <c r="AU281" s="489"/>
      <c r="AV281" s="489"/>
    </row>
    <row r="282" spans="1:48" s="474" customFormat="1" ht="12.75" customHeight="1">
      <c r="A282" s="467" t="s">
        <v>2207</v>
      </c>
      <c r="B282" s="468" t="s">
        <v>2475</v>
      </c>
      <c r="C282" s="445" t="s">
        <v>2203</v>
      </c>
      <c r="D282" s="449" t="s">
        <v>1176</v>
      </c>
      <c r="E282" s="445" t="s">
        <v>2204</v>
      </c>
      <c r="F282" s="420">
        <v>1</v>
      </c>
      <c r="G282" s="449" t="s">
        <v>3837</v>
      </c>
      <c r="H282" s="421" t="s">
        <v>968</v>
      </c>
      <c r="I282" s="455" t="s">
        <v>911</v>
      </c>
      <c r="J282" s="725" t="s">
        <v>1577</v>
      </c>
      <c r="K282" s="490" t="s">
        <v>2001</v>
      </c>
      <c r="L282" s="432">
        <v>137.17400000000001</v>
      </c>
      <c r="M282" s="423">
        <v>0</v>
      </c>
      <c r="N282" s="444">
        <v>39448</v>
      </c>
      <c r="O282" s="497">
        <v>685.87199999999996</v>
      </c>
      <c r="P282" s="513" t="s">
        <v>728</v>
      </c>
      <c r="Q282" s="422"/>
      <c r="R282" s="425"/>
      <c r="S282" s="425"/>
      <c r="T282" s="881"/>
      <c r="U282" s="444"/>
      <c r="V282" s="425"/>
      <c r="W282" s="400"/>
      <c r="X282" s="543"/>
      <c r="Y282" s="419" t="s">
        <v>2698</v>
      </c>
      <c r="Z282" s="445" t="s">
        <v>1616</v>
      </c>
      <c r="AA282" s="881">
        <v>40527</v>
      </c>
      <c r="AB282" s="431">
        <v>41100</v>
      </c>
      <c r="AC282" s="431">
        <v>41045</v>
      </c>
      <c r="AD282" s="431">
        <v>40999</v>
      </c>
      <c r="AE282" s="431"/>
      <c r="AF282" s="431"/>
      <c r="AG282" s="420"/>
      <c r="AH282" s="432">
        <v>0</v>
      </c>
      <c r="AI282" s="422"/>
      <c r="AJ282" s="420"/>
      <c r="AK282" s="420"/>
      <c r="AL282" s="420"/>
      <c r="AM282" s="420"/>
      <c r="AN282" s="420"/>
      <c r="AO282" s="532"/>
      <c r="AP282" s="463"/>
      <c r="AQ282" s="466"/>
      <c r="AR282" s="464"/>
      <c r="AS282" s="464"/>
      <c r="AT282" s="464"/>
      <c r="AU282" s="464"/>
      <c r="AV282" s="464"/>
    </row>
    <row r="283" spans="1:48" s="474" customFormat="1" ht="12.75" customHeight="1">
      <c r="A283" s="467" t="s">
        <v>3228</v>
      </c>
      <c r="B283" s="468" t="s">
        <v>2475</v>
      </c>
      <c r="C283" s="445" t="s">
        <v>3193</v>
      </c>
      <c r="D283" s="449" t="s">
        <v>1176</v>
      </c>
      <c r="E283" s="445" t="s">
        <v>3189</v>
      </c>
      <c r="F283" s="420">
        <v>1</v>
      </c>
      <c r="G283" s="420"/>
      <c r="H283" s="421" t="s">
        <v>968</v>
      </c>
      <c r="I283" s="471" t="s">
        <v>1735</v>
      </c>
      <c r="J283" s="420" t="s">
        <v>1105</v>
      </c>
      <c r="K283" s="490" t="s">
        <v>2001</v>
      </c>
      <c r="L283" s="432">
        <v>114.063</v>
      </c>
      <c r="M283" s="423">
        <v>0</v>
      </c>
      <c r="N283" s="444">
        <v>40725</v>
      </c>
      <c r="O283" s="497">
        <v>171.095</v>
      </c>
      <c r="P283" s="513" t="s">
        <v>728</v>
      </c>
      <c r="Q283" s="422"/>
      <c r="R283" s="425"/>
      <c r="S283" s="425"/>
      <c r="T283" s="881"/>
      <c r="U283" s="444"/>
      <c r="V283" s="425"/>
      <c r="W283" s="400"/>
      <c r="X283" s="543"/>
      <c r="Y283" s="445" t="s">
        <v>1084</v>
      </c>
      <c r="Z283" s="445" t="s">
        <v>908</v>
      </c>
      <c r="AA283" s="881">
        <v>41091</v>
      </c>
      <c r="AB283" s="431"/>
      <c r="AC283" s="431">
        <v>41045</v>
      </c>
      <c r="AD283" s="431">
        <v>40864</v>
      </c>
      <c r="AE283" s="431"/>
      <c r="AF283" s="431"/>
      <c r="AG283" s="420"/>
      <c r="AH283" s="420">
        <v>0</v>
      </c>
      <c r="AI283" s="422"/>
      <c r="AJ283" s="420"/>
      <c r="AK283" s="420"/>
      <c r="AL283" s="420"/>
      <c r="AM283" s="420"/>
      <c r="AN283" s="420"/>
      <c r="AO283" s="532"/>
      <c r="AP283" s="463"/>
      <c r="AQ283" s="466"/>
    </row>
    <row r="284" spans="1:48" s="474" customFormat="1" ht="12.75" customHeight="1">
      <c r="A284" s="467" t="s">
        <v>3553</v>
      </c>
      <c r="B284" s="468" t="s">
        <v>2475</v>
      </c>
      <c r="C284" s="445" t="s">
        <v>3560</v>
      </c>
      <c r="D284" s="420" t="s">
        <v>1176</v>
      </c>
      <c r="E284" s="419" t="s">
        <v>554</v>
      </c>
      <c r="F284" s="420">
        <v>1</v>
      </c>
      <c r="G284" s="420"/>
      <c r="H284" s="421" t="s">
        <v>968</v>
      </c>
      <c r="I284" s="455" t="s">
        <v>911</v>
      </c>
      <c r="J284" s="725" t="s">
        <v>611</v>
      </c>
      <c r="K284" s="450" t="s">
        <v>2001</v>
      </c>
      <c r="L284" s="422">
        <f>O284/5</f>
        <v>302.2056</v>
      </c>
      <c r="M284" s="423">
        <v>0</v>
      </c>
      <c r="N284" s="444">
        <v>39448</v>
      </c>
      <c r="O284" s="424">
        <v>1511.028</v>
      </c>
      <c r="P284" s="513" t="s">
        <v>728</v>
      </c>
      <c r="Q284" s="422"/>
      <c r="R284" s="419"/>
      <c r="S284" s="419"/>
      <c r="T284" s="881"/>
      <c r="U284" s="444"/>
      <c r="V284" s="425"/>
      <c r="W284" s="427"/>
      <c r="X284" s="543"/>
      <c r="Y284" s="507" t="s">
        <v>3561</v>
      </c>
      <c r="Z284" s="507" t="s">
        <v>3562</v>
      </c>
      <c r="AA284" s="935">
        <v>41221</v>
      </c>
      <c r="AB284" s="430"/>
      <c r="AC284" s="431">
        <v>41045</v>
      </c>
      <c r="AD284" s="431">
        <v>40724</v>
      </c>
      <c r="AE284" s="431"/>
      <c r="AF284" s="431"/>
      <c r="AG284" s="432"/>
      <c r="AH284" s="432">
        <v>0</v>
      </c>
      <c r="AI284" s="422"/>
      <c r="AJ284" s="827"/>
      <c r="AK284" s="432"/>
      <c r="AL284" s="432"/>
      <c r="AM284" s="432"/>
      <c r="AN284" s="432"/>
      <c r="AO284" s="419"/>
      <c r="AP284" s="463"/>
      <c r="AQ284" s="782"/>
      <c r="AR284" s="820"/>
      <c r="AS284" s="820"/>
      <c r="AT284" s="820"/>
      <c r="AU284" s="820"/>
      <c r="AV284" s="464"/>
    </row>
    <row r="285" spans="1:48" s="474" customFormat="1" ht="12.75" customHeight="1">
      <c r="A285" s="467" t="s">
        <v>3578</v>
      </c>
      <c r="B285" s="468" t="s">
        <v>2475</v>
      </c>
      <c r="C285" s="445" t="s">
        <v>3601</v>
      </c>
      <c r="D285" s="420" t="s">
        <v>1176</v>
      </c>
      <c r="E285" s="419" t="s">
        <v>3602</v>
      </c>
      <c r="F285" s="420">
        <v>1</v>
      </c>
      <c r="G285" s="420"/>
      <c r="H285" s="421" t="s">
        <v>968</v>
      </c>
      <c r="I285" s="533" t="s">
        <v>256</v>
      </c>
      <c r="J285" s="420" t="s">
        <v>3603</v>
      </c>
      <c r="K285" s="450" t="s">
        <v>2001</v>
      </c>
      <c r="L285" s="422">
        <v>353.21100000000001</v>
      </c>
      <c r="M285" s="423">
        <v>0</v>
      </c>
      <c r="N285" s="444">
        <v>40544</v>
      </c>
      <c r="O285" s="424">
        <v>706.423</v>
      </c>
      <c r="P285" s="513" t="s">
        <v>728</v>
      </c>
      <c r="Q285" s="422"/>
      <c r="R285" s="419"/>
      <c r="S285" s="419"/>
      <c r="T285" s="881"/>
      <c r="U285" s="444"/>
      <c r="V285" s="425"/>
      <c r="W285" s="427"/>
      <c r="X285" s="543"/>
      <c r="Y285" s="419" t="s">
        <v>3195</v>
      </c>
      <c r="Z285" s="507" t="s">
        <v>3209</v>
      </c>
      <c r="AA285" s="935">
        <v>41228</v>
      </c>
      <c r="AB285" s="430"/>
      <c r="AC285" s="431">
        <v>41067</v>
      </c>
      <c r="AD285" s="431">
        <v>40524</v>
      </c>
      <c r="AE285" s="431"/>
      <c r="AF285" s="431"/>
      <c r="AG285" s="432"/>
      <c r="AH285" s="432">
        <v>0</v>
      </c>
      <c r="AI285" s="422"/>
      <c r="AJ285" s="432">
        <f>910/31.13</f>
        <v>29.232251847092837</v>
      </c>
      <c r="AK285" s="432">
        <f>AJ285*1000/L285</f>
        <v>82.761442444014591</v>
      </c>
      <c r="AL285" s="432"/>
      <c r="AM285" s="432"/>
      <c r="AN285" s="432"/>
      <c r="AO285" s="419"/>
      <c r="AP285" s="463"/>
      <c r="AQ285" s="782"/>
    </row>
    <row r="286" spans="1:48" s="474" customFormat="1" ht="12.75" customHeight="1">
      <c r="A286" s="51" t="s">
        <v>171</v>
      </c>
      <c r="B286" s="468" t="s">
        <v>2167</v>
      </c>
      <c r="C286" s="445" t="s">
        <v>2174</v>
      </c>
      <c r="D286" s="449" t="s">
        <v>1176</v>
      </c>
      <c r="E286" s="445" t="s">
        <v>2175</v>
      </c>
      <c r="F286" s="420">
        <v>1</v>
      </c>
      <c r="G286" s="449" t="s">
        <v>2783</v>
      </c>
      <c r="H286" s="421" t="s">
        <v>968</v>
      </c>
      <c r="I286" s="471" t="s">
        <v>1548</v>
      </c>
      <c r="J286" s="504" t="s">
        <v>886</v>
      </c>
      <c r="K286" s="450" t="s">
        <v>1381</v>
      </c>
      <c r="L286" s="422">
        <f>O286/3.5</f>
        <v>888.53342857142866</v>
      </c>
      <c r="M286" s="423">
        <v>0</v>
      </c>
      <c r="N286" s="444">
        <v>40026</v>
      </c>
      <c r="O286" s="424">
        <v>3109.8670000000002</v>
      </c>
      <c r="P286" s="419" t="s">
        <v>1732</v>
      </c>
      <c r="Q286" s="422">
        <f>294.99+757.376+840.823+358.7</f>
        <v>2251.8889999999997</v>
      </c>
      <c r="R286" s="425"/>
      <c r="S286" s="425"/>
      <c r="T286" s="881">
        <v>40527</v>
      </c>
      <c r="U286" s="444">
        <v>41182</v>
      </c>
      <c r="V286" s="425">
        <v>2814.0949135029355</v>
      </c>
      <c r="W286" s="400">
        <f t="shared" ref="W286:W295" si="17">Q286/V286</f>
        <v>0.80021785661695688</v>
      </c>
      <c r="X286" s="544" t="s">
        <v>1084</v>
      </c>
      <c r="Y286" s="391" t="s">
        <v>83</v>
      </c>
      <c r="Z286" s="445" t="s">
        <v>2176</v>
      </c>
      <c r="AA286" s="1021">
        <v>39963</v>
      </c>
      <c r="AB286" s="431">
        <v>40527</v>
      </c>
      <c r="AC286" s="431">
        <v>40382</v>
      </c>
      <c r="AD286" s="431">
        <v>40246</v>
      </c>
      <c r="AE286" s="431"/>
      <c r="AF286" s="431"/>
      <c r="AG286" s="420"/>
      <c r="AH286" s="432">
        <v>0</v>
      </c>
      <c r="AI286" s="420"/>
      <c r="AJ286" s="420"/>
      <c r="AK286" s="420"/>
      <c r="AL286" s="420"/>
      <c r="AM286" s="420"/>
      <c r="AN286" s="420"/>
      <c r="AO286" s="419" t="s">
        <v>2310</v>
      </c>
      <c r="AP286" s="463"/>
      <c r="AQ286" s="51"/>
      <c r="AR286" s="489"/>
      <c r="AS286" s="489"/>
      <c r="AT286" s="489"/>
      <c r="AU286" s="489"/>
      <c r="AV286" s="489"/>
    </row>
    <row r="287" spans="1:48" s="474" customFormat="1" ht="12.75" customHeight="1">
      <c r="A287" s="51" t="s">
        <v>65</v>
      </c>
      <c r="B287" s="801" t="s">
        <v>2168</v>
      </c>
      <c r="C287" s="445" t="s">
        <v>2177</v>
      </c>
      <c r="D287" s="449" t="s">
        <v>1176</v>
      </c>
      <c r="E287" s="532" t="s">
        <v>2178</v>
      </c>
      <c r="F287" s="802">
        <v>1</v>
      </c>
      <c r="G287" s="449" t="s">
        <v>2762</v>
      </c>
      <c r="H287" s="490" t="s">
        <v>968</v>
      </c>
      <c r="I287" s="724" t="s">
        <v>640</v>
      </c>
      <c r="J287" s="552" t="s">
        <v>2179</v>
      </c>
      <c r="K287" s="844" t="s">
        <v>69</v>
      </c>
      <c r="L287" s="845">
        <f>O287/4.75</f>
        <v>4175.6532631578948</v>
      </c>
      <c r="M287" s="505">
        <v>2000</v>
      </c>
      <c r="N287" s="479">
        <v>39539</v>
      </c>
      <c r="O287" s="804">
        <v>19834.352999999999</v>
      </c>
      <c r="P287" s="532" t="s">
        <v>1731</v>
      </c>
      <c r="Q287" s="422">
        <f>598.984+1031.807+3548.915+884.976+2237.13+2328.186+2244.082+1932.275+1946.224+2140.389+705.669+235.716</f>
        <v>19834.352999999999</v>
      </c>
      <c r="R287" s="425"/>
      <c r="S287" s="425"/>
      <c r="T287" s="881">
        <v>39923</v>
      </c>
      <c r="U287" s="444">
        <v>41243</v>
      </c>
      <c r="V287" s="478">
        <v>17946.371203255279</v>
      </c>
      <c r="W287" s="400">
        <f t="shared" si="17"/>
        <v>1.1052013120291562</v>
      </c>
      <c r="X287" s="545" t="s">
        <v>728</v>
      </c>
      <c r="Y287" s="391" t="s">
        <v>2180</v>
      </c>
      <c r="Z287" s="532" t="s">
        <v>835</v>
      </c>
      <c r="AA287" s="935">
        <v>39459</v>
      </c>
      <c r="AB287" s="805">
        <v>40529</v>
      </c>
      <c r="AC287" s="805">
        <v>40382</v>
      </c>
      <c r="AD287" s="805">
        <v>39779</v>
      </c>
      <c r="AE287" s="805"/>
      <c r="AF287" s="805"/>
      <c r="AG287" s="802"/>
      <c r="AH287" s="803">
        <v>0</v>
      </c>
      <c r="AI287" s="802"/>
      <c r="AJ287" s="802"/>
      <c r="AK287" s="802"/>
      <c r="AL287" s="802"/>
      <c r="AM287" s="802"/>
      <c r="AN287" s="802"/>
      <c r="AO287" s="480" t="s">
        <v>2311</v>
      </c>
      <c r="AP287" s="818"/>
      <c r="AQ287" s="51"/>
    </row>
    <row r="288" spans="1:48" s="474" customFormat="1" ht="12.75" customHeight="1">
      <c r="A288" s="51" t="s">
        <v>168</v>
      </c>
      <c r="B288" s="468" t="s">
        <v>2169</v>
      </c>
      <c r="C288" s="445" t="s">
        <v>2181</v>
      </c>
      <c r="D288" s="449" t="s">
        <v>1176</v>
      </c>
      <c r="E288" s="445" t="s">
        <v>188</v>
      </c>
      <c r="F288" s="420">
        <v>1</v>
      </c>
      <c r="G288" s="449" t="s">
        <v>2765</v>
      </c>
      <c r="H288" s="421" t="s">
        <v>968</v>
      </c>
      <c r="I288" s="455" t="s">
        <v>640</v>
      </c>
      <c r="J288" s="552" t="s">
        <v>2179</v>
      </c>
      <c r="K288" s="450" t="s">
        <v>189</v>
      </c>
      <c r="L288" s="422">
        <f>O288/5</f>
        <v>4291.5949999999993</v>
      </c>
      <c r="M288" s="423">
        <v>2000</v>
      </c>
      <c r="N288" s="444">
        <v>39448</v>
      </c>
      <c r="O288" s="424">
        <v>21457.974999999999</v>
      </c>
      <c r="P288" s="445" t="s">
        <v>1731</v>
      </c>
      <c r="Q288" s="422">
        <f>511.153+518.871+4260.629+0+2015.631+2015.895+2193.701+1895.084+2210.561+2127.929+886.195+1169.449</f>
        <v>19805.098000000002</v>
      </c>
      <c r="R288" s="425"/>
      <c r="S288" s="425"/>
      <c r="T288" s="881">
        <v>40335</v>
      </c>
      <c r="U288" s="444">
        <v>41243</v>
      </c>
      <c r="V288" s="425">
        <v>20701.037749108647</v>
      </c>
      <c r="W288" s="400">
        <f t="shared" si="17"/>
        <v>0.95672005626156476</v>
      </c>
      <c r="X288" s="545" t="s">
        <v>728</v>
      </c>
      <c r="Y288" s="391" t="s">
        <v>2180</v>
      </c>
      <c r="Z288" s="445" t="s">
        <v>835</v>
      </c>
      <c r="AA288" s="935">
        <v>39497</v>
      </c>
      <c r="AB288" s="431">
        <v>40529</v>
      </c>
      <c r="AC288" s="431">
        <v>40382</v>
      </c>
      <c r="AD288" s="431">
        <v>40220</v>
      </c>
      <c r="AE288" s="431"/>
      <c r="AF288" s="431"/>
      <c r="AG288" s="420"/>
      <c r="AH288" s="432">
        <v>0</v>
      </c>
      <c r="AI288" s="420"/>
      <c r="AJ288" s="420"/>
      <c r="AK288" s="420"/>
      <c r="AL288" s="420"/>
      <c r="AM288" s="420"/>
      <c r="AN288" s="420"/>
      <c r="AO288" s="419" t="s">
        <v>2312</v>
      </c>
      <c r="AP288" s="463"/>
      <c r="AQ288" s="782"/>
    </row>
    <row r="289" spans="1:48" s="474" customFormat="1" ht="12.75" customHeight="1">
      <c r="A289" s="467" t="s">
        <v>2294</v>
      </c>
      <c r="B289" s="801" t="s">
        <v>2292</v>
      </c>
      <c r="C289" s="445" t="s">
        <v>2303</v>
      </c>
      <c r="D289" s="449" t="s">
        <v>1176</v>
      </c>
      <c r="E289" s="445" t="s">
        <v>357</v>
      </c>
      <c r="F289" s="802">
        <v>1</v>
      </c>
      <c r="G289" s="802"/>
      <c r="H289" s="490" t="s">
        <v>968</v>
      </c>
      <c r="I289" s="724" t="s">
        <v>911</v>
      </c>
      <c r="J289" s="552" t="s">
        <v>612</v>
      </c>
      <c r="K289" s="533" t="s">
        <v>2001</v>
      </c>
      <c r="L289" s="505">
        <f>O289/5</f>
        <v>175.98779999999999</v>
      </c>
      <c r="M289" s="1045">
        <v>8</v>
      </c>
      <c r="N289" s="479">
        <v>39448</v>
      </c>
      <c r="O289" s="804">
        <v>879.93899999999996</v>
      </c>
      <c r="P289" s="532" t="s">
        <v>728</v>
      </c>
      <c r="Q289" s="845">
        <f>109.187+125.623+158.437+316.775</f>
        <v>710.02199999999993</v>
      </c>
      <c r="R289" s="478"/>
      <c r="S289" s="478"/>
      <c r="T289" s="880">
        <v>40255</v>
      </c>
      <c r="U289" s="479">
        <v>41182</v>
      </c>
      <c r="V289" s="478">
        <v>831.3249202326889</v>
      </c>
      <c r="W289" s="400">
        <f t="shared" si="17"/>
        <v>0.85408482618476522</v>
      </c>
      <c r="X289" s="545" t="s">
        <v>728</v>
      </c>
      <c r="Y289" s="419" t="s">
        <v>1084</v>
      </c>
      <c r="Z289" s="532" t="s">
        <v>2304</v>
      </c>
      <c r="AA289" s="880">
        <v>40609</v>
      </c>
      <c r="AB289" s="805"/>
      <c r="AC289" s="805">
        <v>40382</v>
      </c>
      <c r="AD289" s="805">
        <v>39951</v>
      </c>
      <c r="AE289" s="805"/>
      <c r="AF289" s="805"/>
      <c r="AG289" s="802"/>
      <c r="AH289" s="803">
        <v>0</v>
      </c>
      <c r="AI289" s="845"/>
      <c r="AJ289" s="802">
        <v>40.56</v>
      </c>
      <c r="AK289" s="432">
        <f>AJ289*1000/L289</f>
        <v>230.47052125204135</v>
      </c>
      <c r="AL289" s="802"/>
      <c r="AM289" s="802"/>
      <c r="AN289" s="802"/>
      <c r="AO289" s="480"/>
      <c r="AP289" s="787"/>
      <c r="AQ289" s="782"/>
    </row>
    <row r="290" spans="1:48" s="474" customFormat="1" ht="12.75" customHeight="1">
      <c r="A290" s="51" t="s">
        <v>364</v>
      </c>
      <c r="B290" s="468" t="s">
        <v>2293</v>
      </c>
      <c r="C290" s="445" t="s">
        <v>368</v>
      </c>
      <c r="D290" s="449" t="s">
        <v>1176</v>
      </c>
      <c r="E290" s="445" t="s">
        <v>2305</v>
      </c>
      <c r="F290" s="420">
        <v>1</v>
      </c>
      <c r="G290" s="449" t="s">
        <v>2761</v>
      </c>
      <c r="H290" s="421" t="s">
        <v>968</v>
      </c>
      <c r="I290" s="455" t="s">
        <v>911</v>
      </c>
      <c r="J290" s="420" t="s">
        <v>1577</v>
      </c>
      <c r="K290" s="448" t="s">
        <v>2001</v>
      </c>
      <c r="L290" s="432">
        <f>O290/5</f>
        <v>1500.1469999999999</v>
      </c>
      <c r="M290" s="423">
        <v>0</v>
      </c>
      <c r="N290" s="444">
        <v>39448</v>
      </c>
      <c r="O290" s="424">
        <v>7500.7349999999997</v>
      </c>
      <c r="P290" s="445" t="s">
        <v>728</v>
      </c>
      <c r="Q290" s="422">
        <f>2120.856+758.323+1200.169+993.77</f>
        <v>5073.1180000000004</v>
      </c>
      <c r="R290" s="425"/>
      <c r="S290" s="425"/>
      <c r="T290" s="881">
        <v>40470</v>
      </c>
      <c r="U290" s="444">
        <v>41182</v>
      </c>
      <c r="V290" s="425">
        <v>7126.7257479452046</v>
      </c>
      <c r="W290" s="400">
        <f t="shared" si="17"/>
        <v>0.7118441454636717</v>
      </c>
      <c r="X290" s="545" t="s">
        <v>728</v>
      </c>
      <c r="Y290" s="419" t="s">
        <v>358</v>
      </c>
      <c r="Z290" s="419" t="s">
        <v>549</v>
      </c>
      <c r="AA290" s="880">
        <v>40142</v>
      </c>
      <c r="AB290" s="431">
        <v>40609</v>
      </c>
      <c r="AC290" s="431">
        <v>40560</v>
      </c>
      <c r="AD290" s="431">
        <v>40196</v>
      </c>
      <c r="AE290" s="431"/>
      <c r="AF290" s="431"/>
      <c r="AG290" s="420"/>
      <c r="AH290" s="432">
        <v>0</v>
      </c>
      <c r="AI290" s="422"/>
      <c r="AJ290" s="422">
        <f>152/Exch!B11</f>
        <v>180.01945157547812</v>
      </c>
      <c r="AK290" s="432">
        <f>AJ290*1000/L290</f>
        <v>120.00120759864075</v>
      </c>
      <c r="AL290" s="420"/>
      <c r="AM290" s="420"/>
      <c r="AN290" s="420"/>
      <c r="AO290" s="419" t="s">
        <v>2314</v>
      </c>
      <c r="AP290" s="530"/>
      <c r="AQ290" s="51"/>
    </row>
    <row r="291" spans="1:48" s="474" customFormat="1" ht="12.75" customHeight="1">
      <c r="A291" s="467" t="s">
        <v>2295</v>
      </c>
      <c r="B291" s="756" t="s">
        <v>2296</v>
      </c>
      <c r="C291" s="445" t="s">
        <v>2306</v>
      </c>
      <c r="D291" s="449" t="s">
        <v>1176</v>
      </c>
      <c r="E291" s="445" t="s">
        <v>2307</v>
      </c>
      <c r="F291" s="802">
        <v>1</v>
      </c>
      <c r="G291" s="802"/>
      <c r="H291" s="490" t="s">
        <v>968</v>
      </c>
      <c r="I291" s="471" t="s">
        <v>1548</v>
      </c>
      <c r="J291" s="504" t="s">
        <v>886</v>
      </c>
      <c r="K291" s="450" t="s">
        <v>1381</v>
      </c>
      <c r="L291" s="803">
        <f>O291/3</f>
        <v>2280.1689999999999</v>
      </c>
      <c r="M291" s="505">
        <v>700</v>
      </c>
      <c r="N291" s="479">
        <v>41165</v>
      </c>
      <c r="O291" s="804">
        <v>6840.5069999999996</v>
      </c>
      <c r="P291" s="532" t="s">
        <v>728</v>
      </c>
      <c r="Q291" s="845">
        <f>69.935</f>
        <v>69.935000000000002</v>
      </c>
      <c r="R291" s="478"/>
      <c r="S291" s="478"/>
      <c r="T291" s="880">
        <v>41269</v>
      </c>
      <c r="U291" s="479">
        <v>41213</v>
      </c>
      <c r="V291" s="478">
        <v>75.773772790392172</v>
      </c>
      <c r="W291" s="400">
        <f t="shared" si="17"/>
        <v>0.9229446736597956</v>
      </c>
      <c r="X291" s="545" t="s">
        <v>728</v>
      </c>
      <c r="Y291" s="419" t="s">
        <v>2603</v>
      </c>
      <c r="Z291" s="532" t="s">
        <v>2206</v>
      </c>
      <c r="AA291" s="880">
        <v>40611</v>
      </c>
      <c r="AB291" s="805"/>
      <c r="AC291" s="805">
        <v>40560</v>
      </c>
      <c r="AD291" s="805">
        <v>39785</v>
      </c>
      <c r="AE291" s="805"/>
      <c r="AF291" s="805"/>
      <c r="AG291" s="802"/>
      <c r="AH291" s="803">
        <v>0</v>
      </c>
      <c r="AI291" s="845"/>
      <c r="AJ291" s="845">
        <f>7434/34.29/Exch!B11</f>
        <v>256.76209939450365</v>
      </c>
      <c r="AK291" s="432">
        <f>AJ291*1000/L291</f>
        <v>112.60660915682288</v>
      </c>
      <c r="AL291" s="802"/>
      <c r="AM291" s="802"/>
      <c r="AN291" s="802"/>
      <c r="AO291" s="480" t="s">
        <v>2315</v>
      </c>
      <c r="AP291" s="991">
        <v>68.233999999999995</v>
      </c>
      <c r="AQ291" s="467" t="s">
        <v>2829</v>
      </c>
    </row>
    <row r="292" spans="1:48" s="474" customFormat="1" ht="12.75" customHeight="1">
      <c r="A292" s="51" t="s">
        <v>64</v>
      </c>
      <c r="B292" s="756" t="s">
        <v>2297</v>
      </c>
      <c r="C292" s="445" t="s">
        <v>2308</v>
      </c>
      <c r="D292" s="449" t="s">
        <v>1176</v>
      </c>
      <c r="E292" s="445" t="s">
        <v>2307</v>
      </c>
      <c r="F292" s="802">
        <v>1</v>
      </c>
      <c r="G292" s="449" t="s">
        <v>2769</v>
      </c>
      <c r="H292" s="490" t="s">
        <v>968</v>
      </c>
      <c r="I292" s="471" t="s">
        <v>1548</v>
      </c>
      <c r="J292" s="504" t="s">
        <v>886</v>
      </c>
      <c r="K292" s="450" t="s">
        <v>1381</v>
      </c>
      <c r="L292" s="845">
        <f>O292/3</f>
        <v>2216.9456</v>
      </c>
      <c r="M292" s="505">
        <v>300</v>
      </c>
      <c r="N292" s="479">
        <v>40878</v>
      </c>
      <c r="O292" s="804">
        <v>6650.8368</v>
      </c>
      <c r="P292" s="419" t="s">
        <v>1731</v>
      </c>
      <c r="Q292" s="845">
        <f>249.467+695.167275</f>
        <v>944.634275</v>
      </c>
      <c r="R292" s="478"/>
      <c r="S292" s="478"/>
      <c r="T292" s="880">
        <v>41067</v>
      </c>
      <c r="U292" s="479">
        <v>41274</v>
      </c>
      <c r="V292" s="478">
        <v>1768.0969564571215</v>
      </c>
      <c r="W292" s="400">
        <f t="shared" si="17"/>
        <v>0.53426610545885445</v>
      </c>
      <c r="X292" s="545" t="s">
        <v>728</v>
      </c>
      <c r="Y292" s="419" t="s">
        <v>2309</v>
      </c>
      <c r="Z292" s="532" t="s">
        <v>2770</v>
      </c>
      <c r="AA292" s="935">
        <v>39459</v>
      </c>
      <c r="AB292" s="805">
        <v>40611</v>
      </c>
      <c r="AC292" s="805">
        <v>40382</v>
      </c>
      <c r="AD292" s="805">
        <v>39573</v>
      </c>
      <c r="AE292" s="805"/>
      <c r="AF292" s="805"/>
      <c r="AG292" s="802"/>
      <c r="AH292" s="803">
        <v>0</v>
      </c>
      <c r="AI292" s="845"/>
      <c r="AJ292" s="916"/>
      <c r="AK292" s="802"/>
      <c r="AL292" s="802"/>
      <c r="AM292" s="802"/>
      <c r="AN292" s="802"/>
      <c r="AO292" s="480" t="s">
        <v>2313</v>
      </c>
      <c r="AP292" s="787" t="s">
        <v>289</v>
      </c>
      <c r="AQ292" s="51"/>
    </row>
    <row r="293" spans="1:48" s="474" customFormat="1" ht="12.75" customHeight="1">
      <c r="A293" s="467" t="s">
        <v>2298</v>
      </c>
      <c r="B293" s="801" t="s">
        <v>2299</v>
      </c>
      <c r="C293" s="445" t="s">
        <v>2316</v>
      </c>
      <c r="D293" s="449" t="s">
        <v>1176</v>
      </c>
      <c r="E293" s="445" t="s">
        <v>2319</v>
      </c>
      <c r="F293" s="802">
        <v>1</v>
      </c>
      <c r="G293" s="802"/>
      <c r="H293" s="490" t="s">
        <v>968</v>
      </c>
      <c r="I293" s="724" t="s">
        <v>2318</v>
      </c>
      <c r="J293" s="507" t="s">
        <v>753</v>
      </c>
      <c r="K293" s="724" t="s">
        <v>2320</v>
      </c>
      <c r="L293" s="1045">
        <f>O293/5</f>
        <v>233.0232</v>
      </c>
      <c r="M293" s="505">
        <v>20</v>
      </c>
      <c r="N293" s="479">
        <v>39448</v>
      </c>
      <c r="O293" s="845">
        <v>1165.116</v>
      </c>
      <c r="P293" s="419" t="s">
        <v>1731</v>
      </c>
      <c r="Q293" s="845">
        <f>464.52+284.745+450.986+333.078</f>
        <v>1533.329</v>
      </c>
      <c r="R293" s="478"/>
      <c r="S293" s="478"/>
      <c r="T293" s="880">
        <v>40364</v>
      </c>
      <c r="U293" s="479">
        <v>41090</v>
      </c>
      <c r="V293" s="478">
        <v>1025.7304143816853</v>
      </c>
      <c r="W293" s="400">
        <f t="shared" si="17"/>
        <v>1.4948654914598563</v>
      </c>
      <c r="X293" s="545" t="s">
        <v>728</v>
      </c>
      <c r="Y293" s="419" t="s">
        <v>2603</v>
      </c>
      <c r="Z293" s="532" t="s">
        <v>120</v>
      </c>
      <c r="AA293" s="880">
        <v>40611</v>
      </c>
      <c r="AB293" s="805"/>
      <c r="AC293" s="805">
        <v>40560</v>
      </c>
      <c r="AD293" s="805">
        <v>39733</v>
      </c>
      <c r="AE293" s="805"/>
      <c r="AF293" s="805"/>
      <c r="AG293" s="802"/>
      <c r="AH293" s="803">
        <v>0</v>
      </c>
      <c r="AI293" s="845"/>
      <c r="AJ293" s="916"/>
      <c r="AK293" s="802"/>
      <c r="AL293" s="802"/>
      <c r="AM293" s="802"/>
      <c r="AN293" s="802"/>
      <c r="AO293" s="480" t="s">
        <v>2317</v>
      </c>
      <c r="AP293" s="787"/>
      <c r="AQ293" s="782"/>
    </row>
    <row r="294" spans="1:48" s="474" customFormat="1" ht="12.75" customHeight="1">
      <c r="A294" s="51" t="s">
        <v>1539</v>
      </c>
      <c r="B294" s="59" t="s">
        <v>2301</v>
      </c>
      <c r="C294" s="419" t="s">
        <v>2011</v>
      </c>
      <c r="D294" s="420" t="s">
        <v>1176</v>
      </c>
      <c r="E294" s="419" t="s">
        <v>1540</v>
      </c>
      <c r="F294" s="420">
        <v>1</v>
      </c>
      <c r="G294" s="449" t="s">
        <v>4053</v>
      </c>
      <c r="H294" s="393" t="s">
        <v>968</v>
      </c>
      <c r="I294" s="471" t="s">
        <v>256</v>
      </c>
      <c r="J294" s="419" t="s">
        <v>660</v>
      </c>
      <c r="K294" s="421" t="s">
        <v>735</v>
      </c>
      <c r="L294" s="422">
        <v>490.83699999999999</v>
      </c>
      <c r="M294" s="423">
        <v>0</v>
      </c>
      <c r="N294" s="444">
        <v>40445</v>
      </c>
      <c r="O294" s="424">
        <f>2.292*L294</f>
        <v>1124.9984039999999</v>
      </c>
      <c r="P294" s="419" t="s">
        <v>728</v>
      </c>
      <c r="Q294" s="422">
        <f>56.904+381.925</f>
        <v>438.82900000000001</v>
      </c>
      <c r="R294" s="425"/>
      <c r="S294" s="425"/>
      <c r="T294" s="881">
        <v>40644</v>
      </c>
      <c r="U294" s="444">
        <v>40908</v>
      </c>
      <c r="V294" s="425">
        <v>622.62337260273966</v>
      </c>
      <c r="W294" s="400">
        <f t="shared" si="17"/>
        <v>0.70480649989988675</v>
      </c>
      <c r="X294" s="545" t="s">
        <v>728</v>
      </c>
      <c r="Y294" s="419" t="s">
        <v>293</v>
      </c>
      <c r="Z294" s="419" t="s">
        <v>665</v>
      </c>
      <c r="AA294" s="935">
        <v>40101</v>
      </c>
      <c r="AB294" s="430">
        <v>40612</v>
      </c>
      <c r="AC294" s="431">
        <v>40382</v>
      </c>
      <c r="AD294" s="431">
        <v>40421</v>
      </c>
      <c r="AE294" s="431">
        <v>40465</v>
      </c>
      <c r="AF294" s="431"/>
      <c r="AG294" s="432"/>
      <c r="AH294" s="432">
        <v>400</v>
      </c>
      <c r="AI294" s="422">
        <v>6900</v>
      </c>
      <c r="AJ294" s="432">
        <f>387/Exch!B11</f>
        <v>458.33899841914496</v>
      </c>
      <c r="AK294" s="432">
        <f>AJ294*1000/L294</f>
        <v>933.79064418359849</v>
      </c>
      <c r="AL294" s="422">
        <f>AJ294*1000/AH294</f>
        <v>1145.8474960478625</v>
      </c>
      <c r="AM294" s="432"/>
      <c r="AN294" s="432"/>
      <c r="AO294" s="419" t="s">
        <v>2471</v>
      </c>
      <c r="AP294" s="463"/>
      <c r="AQ294" s="51"/>
    </row>
    <row r="295" spans="1:48" s="474" customFormat="1" ht="12.75" customHeight="1">
      <c r="A295" s="467" t="s">
        <v>2300</v>
      </c>
      <c r="B295" s="801" t="s">
        <v>2302</v>
      </c>
      <c r="C295" s="445" t="s">
        <v>2321</v>
      </c>
      <c r="D295" s="449" t="s">
        <v>1176</v>
      </c>
      <c r="E295" s="445" t="s">
        <v>184</v>
      </c>
      <c r="F295" s="802">
        <v>1</v>
      </c>
      <c r="G295" s="802"/>
      <c r="H295" s="490" t="s">
        <v>968</v>
      </c>
      <c r="I295" s="724" t="s">
        <v>1082</v>
      </c>
      <c r="J295" s="552" t="s">
        <v>1357</v>
      </c>
      <c r="K295" s="490" t="s">
        <v>2001</v>
      </c>
      <c r="L295" s="803">
        <f>O295/5</f>
        <v>278.25599999999997</v>
      </c>
      <c r="M295" s="505">
        <v>40</v>
      </c>
      <c r="N295" s="479">
        <v>39448</v>
      </c>
      <c r="O295" s="804">
        <v>1391.28</v>
      </c>
      <c r="P295" s="532" t="s">
        <v>728</v>
      </c>
      <c r="Q295" s="845">
        <f>154.179+130.031+150.827+356.577</f>
        <v>791.61400000000003</v>
      </c>
      <c r="R295" s="478"/>
      <c r="S295" s="478"/>
      <c r="T295" s="880">
        <v>40297</v>
      </c>
      <c r="U295" s="479">
        <v>41182</v>
      </c>
      <c r="V295" s="478">
        <v>1298.2182395196094</v>
      </c>
      <c r="W295" s="400">
        <f t="shared" si="17"/>
        <v>0.60976958719431307</v>
      </c>
      <c r="X295" s="545" t="s">
        <v>728</v>
      </c>
      <c r="Y295" s="419" t="s">
        <v>1084</v>
      </c>
      <c r="Z295" s="532" t="s">
        <v>2304</v>
      </c>
      <c r="AA295" s="880">
        <v>40612</v>
      </c>
      <c r="AB295" s="805"/>
      <c r="AC295" s="805"/>
      <c r="AD295" s="805">
        <v>40002</v>
      </c>
      <c r="AE295" s="805"/>
      <c r="AF295" s="805"/>
      <c r="AG295" s="802"/>
      <c r="AH295" s="803">
        <v>0</v>
      </c>
      <c r="AI295" s="845"/>
      <c r="AJ295" s="916"/>
      <c r="AK295" s="802"/>
      <c r="AL295" s="802"/>
      <c r="AM295" s="802"/>
      <c r="AN295" s="802"/>
      <c r="AO295" s="480"/>
      <c r="AP295" s="787"/>
      <c r="AQ295" s="782"/>
    </row>
    <row r="296" spans="1:48" s="474" customFormat="1" ht="12.75" customHeight="1">
      <c r="A296" s="51" t="s">
        <v>191</v>
      </c>
      <c r="B296" s="499" t="s">
        <v>2331</v>
      </c>
      <c r="C296" s="445" t="s">
        <v>2342</v>
      </c>
      <c r="D296" s="449" t="s">
        <v>1176</v>
      </c>
      <c r="E296" s="445" t="s">
        <v>100</v>
      </c>
      <c r="F296" s="420">
        <v>1</v>
      </c>
      <c r="G296" s="449" t="s">
        <v>2776</v>
      </c>
      <c r="H296" s="421" t="s">
        <v>968</v>
      </c>
      <c r="I296" s="394" t="s">
        <v>1488</v>
      </c>
      <c r="J296" s="392" t="s">
        <v>1710</v>
      </c>
      <c r="K296" s="450" t="s">
        <v>689</v>
      </c>
      <c r="L296" s="432">
        <f>O296/4</f>
        <v>239.71700000000001</v>
      </c>
      <c r="M296" s="423">
        <v>1.5</v>
      </c>
      <c r="N296" s="444">
        <v>39814</v>
      </c>
      <c r="O296" s="424">
        <v>958.86800000000005</v>
      </c>
      <c r="P296" s="445" t="s">
        <v>1486</v>
      </c>
      <c r="Q296" s="422"/>
      <c r="R296" s="425"/>
      <c r="S296" s="425"/>
      <c r="T296" s="881"/>
      <c r="U296" s="444"/>
      <c r="V296" s="425"/>
      <c r="W296" s="419"/>
      <c r="X296" s="543"/>
      <c r="Y296" s="445" t="s">
        <v>1084</v>
      </c>
      <c r="Z296" s="445" t="s">
        <v>908</v>
      </c>
      <c r="AA296" s="1021">
        <v>39515</v>
      </c>
      <c r="AB296" s="431">
        <v>40619</v>
      </c>
      <c r="AC296" s="431">
        <v>40542</v>
      </c>
      <c r="AD296" s="431">
        <v>39707</v>
      </c>
      <c r="AE296" s="431"/>
      <c r="AF296" s="431"/>
      <c r="AG296" s="420"/>
      <c r="AH296" s="432">
        <v>0</v>
      </c>
      <c r="AI296" s="422"/>
      <c r="AJ296" s="432">
        <f>2.12/Exch!B11</f>
        <v>2.5107976140790371</v>
      </c>
      <c r="AK296" s="432">
        <f>AJ296*1000/L296</f>
        <v>10.47400732563413</v>
      </c>
      <c r="AL296" s="420"/>
      <c r="AM296" s="420"/>
      <c r="AN296" s="420"/>
      <c r="AO296" s="445" t="s">
        <v>2335</v>
      </c>
      <c r="AP296" s="530"/>
      <c r="AQ296" s="51"/>
    </row>
    <row r="297" spans="1:48" s="474" customFormat="1" ht="12.75" customHeight="1">
      <c r="A297" s="467" t="s">
        <v>2325</v>
      </c>
      <c r="B297" s="756" t="s">
        <v>2332</v>
      </c>
      <c r="C297" s="445" t="s">
        <v>2343</v>
      </c>
      <c r="D297" s="462" t="s">
        <v>1176</v>
      </c>
      <c r="E297" s="445" t="s">
        <v>647</v>
      </c>
      <c r="F297" s="802">
        <v>1</v>
      </c>
      <c r="G297" s="802"/>
      <c r="H297" s="490" t="s">
        <v>968</v>
      </c>
      <c r="I297" s="455" t="s">
        <v>911</v>
      </c>
      <c r="J297" s="420" t="s">
        <v>1577</v>
      </c>
      <c r="K297" s="490" t="s">
        <v>2001</v>
      </c>
      <c r="L297" s="803">
        <f>O297/5</f>
        <v>395.08180000000004</v>
      </c>
      <c r="M297" s="505">
        <v>100</v>
      </c>
      <c r="N297" s="479">
        <v>39448</v>
      </c>
      <c r="O297" s="804">
        <v>1975.4090000000001</v>
      </c>
      <c r="P297" s="532" t="s">
        <v>728</v>
      </c>
      <c r="Q297" s="845">
        <f>165.889+206.8+231.507+331.039+225.377</f>
        <v>1160.6120000000001</v>
      </c>
      <c r="R297" s="478"/>
      <c r="S297" s="478"/>
      <c r="T297" s="880">
        <v>40596</v>
      </c>
      <c r="U297" s="479">
        <v>41182</v>
      </c>
      <c r="V297" s="478">
        <v>1817.6882870182026</v>
      </c>
      <c r="W297" s="400">
        <f t="shared" ref="W297:W333" si="18">Q297/V297</f>
        <v>0.63850991849868122</v>
      </c>
      <c r="X297" s="545" t="s">
        <v>728</v>
      </c>
      <c r="Y297" s="445" t="s">
        <v>2806</v>
      </c>
      <c r="Z297" s="532" t="s">
        <v>908</v>
      </c>
      <c r="AA297" s="880">
        <v>40619</v>
      </c>
      <c r="AB297" s="805"/>
      <c r="AC297" s="805">
        <v>40542</v>
      </c>
      <c r="AD297" s="805">
        <v>40602</v>
      </c>
      <c r="AE297" s="805"/>
      <c r="AF297" s="805"/>
      <c r="AG297" s="802"/>
      <c r="AH297" s="803">
        <v>0</v>
      </c>
      <c r="AI297" s="845"/>
      <c r="AJ297" s="916"/>
      <c r="AK297" s="802"/>
      <c r="AL297" s="802"/>
      <c r="AM297" s="802"/>
      <c r="AN297" s="802"/>
      <c r="AO297" s="532" t="s">
        <v>2314</v>
      </c>
      <c r="AP297" s="787"/>
      <c r="AQ297" s="793"/>
    </row>
    <row r="298" spans="1:48" s="474" customFormat="1" ht="12.75" customHeight="1">
      <c r="A298" s="51" t="s">
        <v>176</v>
      </c>
      <c r="B298" s="756" t="s">
        <v>2333</v>
      </c>
      <c r="C298" s="445" t="s">
        <v>177</v>
      </c>
      <c r="D298" s="462" t="s">
        <v>1176</v>
      </c>
      <c r="E298" s="445" t="s">
        <v>1414</v>
      </c>
      <c r="F298" s="802">
        <v>1</v>
      </c>
      <c r="G298" s="984" t="s">
        <v>2768</v>
      </c>
      <c r="H298" s="533" t="s">
        <v>968</v>
      </c>
      <c r="I298" s="471" t="s">
        <v>1548</v>
      </c>
      <c r="J298" s="504" t="s">
        <v>886</v>
      </c>
      <c r="K298" s="450" t="s">
        <v>1381</v>
      </c>
      <c r="L298" s="803">
        <f>O298/3.75</f>
        <v>225.66559999999998</v>
      </c>
      <c r="M298" s="505">
        <v>0</v>
      </c>
      <c r="N298" s="479">
        <v>39904</v>
      </c>
      <c r="O298" s="804">
        <v>846.24599999999998</v>
      </c>
      <c r="P298" s="532" t="s">
        <v>1084</v>
      </c>
      <c r="Q298" s="845">
        <f>167.161+190.354+101.242</f>
        <v>458.75700000000001</v>
      </c>
      <c r="R298" s="478"/>
      <c r="S298" s="478"/>
      <c r="T298" s="880">
        <v>40642</v>
      </c>
      <c r="U298" s="479">
        <v>40908</v>
      </c>
      <c r="V298" s="478">
        <v>620.73496547945194</v>
      </c>
      <c r="W298" s="869">
        <f t="shared" si="18"/>
        <v>0.73905454906291423</v>
      </c>
      <c r="X298" s="951" t="s">
        <v>728</v>
      </c>
      <c r="Y298" s="445" t="s">
        <v>2898</v>
      </c>
      <c r="Z298" s="532" t="s">
        <v>863</v>
      </c>
      <c r="AA298" s="550">
        <v>39729</v>
      </c>
      <c r="AB298" s="805">
        <v>40619</v>
      </c>
      <c r="AC298" s="805">
        <v>40382</v>
      </c>
      <c r="AD298" s="805"/>
      <c r="AE298" s="805"/>
      <c r="AF298" s="805"/>
      <c r="AG298" s="802"/>
      <c r="AH298" s="803">
        <v>0</v>
      </c>
      <c r="AI298" s="845"/>
      <c r="AJ298" s="916"/>
      <c r="AK298" s="802"/>
      <c r="AL298" s="802"/>
      <c r="AM298" s="802"/>
      <c r="AN298" s="802"/>
      <c r="AO298" s="532" t="s">
        <v>2337</v>
      </c>
      <c r="AP298" s="787"/>
      <c r="AQ298" s="51"/>
    </row>
    <row r="299" spans="1:48" s="474" customFormat="1" ht="12.75" customHeight="1">
      <c r="A299" s="467" t="s">
        <v>2326</v>
      </c>
      <c r="B299" s="756" t="s">
        <v>2334</v>
      </c>
      <c r="C299" s="445" t="s">
        <v>2345</v>
      </c>
      <c r="D299" s="462" t="s">
        <v>1176</v>
      </c>
      <c r="E299" s="445" t="s">
        <v>188</v>
      </c>
      <c r="F299" s="802">
        <v>1</v>
      </c>
      <c r="G299" s="802"/>
      <c r="H299" s="490" t="s">
        <v>968</v>
      </c>
      <c r="I299" s="455" t="s">
        <v>911</v>
      </c>
      <c r="J299" s="552" t="s">
        <v>613</v>
      </c>
      <c r="K299" s="490" t="s">
        <v>2001</v>
      </c>
      <c r="L299" s="803">
        <f>O299/5</f>
        <v>166.58920000000001</v>
      </c>
      <c r="M299" s="505">
        <v>20</v>
      </c>
      <c r="N299" s="479">
        <v>39448</v>
      </c>
      <c r="O299" s="804">
        <v>832.94600000000003</v>
      </c>
      <c r="P299" s="532" t="s">
        <v>728</v>
      </c>
      <c r="Q299" s="845">
        <f>146.677+187.686+218.553</f>
        <v>552.91599999999994</v>
      </c>
      <c r="R299" s="478"/>
      <c r="S299" s="478"/>
      <c r="T299" s="880">
        <v>40765</v>
      </c>
      <c r="U299" s="479">
        <v>40543</v>
      </c>
      <c r="V299" s="478">
        <v>439.76760000000002</v>
      </c>
      <c r="W299" s="869">
        <f t="shared" si="18"/>
        <v>1.2572913511591119</v>
      </c>
      <c r="X299" s="951" t="s">
        <v>728</v>
      </c>
      <c r="Y299" s="445" t="s">
        <v>442</v>
      </c>
      <c r="Z299" s="532" t="s">
        <v>908</v>
      </c>
      <c r="AA299" s="848">
        <v>40619</v>
      </c>
      <c r="AB299" s="805"/>
      <c r="AC299" s="805">
        <v>40542</v>
      </c>
      <c r="AD299" s="805">
        <v>39988</v>
      </c>
      <c r="AE299" s="805"/>
      <c r="AF299" s="805"/>
      <c r="AG299" s="802"/>
      <c r="AH299" s="803">
        <v>0</v>
      </c>
      <c r="AI299" s="845"/>
      <c r="AJ299" s="803">
        <f>1548.83/28.276</f>
        <v>54.775427924741827</v>
      </c>
      <c r="AK299" s="423">
        <f>AJ299*1000/L299</f>
        <v>328.80539629664963</v>
      </c>
      <c r="AL299" s="847"/>
      <c r="AM299" s="897"/>
      <c r="AN299" s="802"/>
      <c r="AO299" s="532" t="s">
        <v>2336</v>
      </c>
      <c r="AP299" s="787"/>
      <c r="AQ299" s="782"/>
    </row>
    <row r="300" spans="1:48" s="474" customFormat="1" ht="12.75" customHeight="1">
      <c r="A300" s="51" t="s">
        <v>963</v>
      </c>
      <c r="B300" s="801" t="s">
        <v>2516</v>
      </c>
      <c r="C300" s="445" t="s">
        <v>2467</v>
      </c>
      <c r="D300" s="462" t="s">
        <v>1176</v>
      </c>
      <c r="E300" s="445" t="s">
        <v>357</v>
      </c>
      <c r="F300" s="802">
        <v>1</v>
      </c>
      <c r="G300" s="449" t="s">
        <v>2861</v>
      </c>
      <c r="H300" s="533" t="s">
        <v>968</v>
      </c>
      <c r="I300" s="724" t="s">
        <v>1082</v>
      </c>
      <c r="J300" s="507" t="s">
        <v>1357</v>
      </c>
      <c r="K300" s="490" t="s">
        <v>2001</v>
      </c>
      <c r="L300" s="803">
        <v>157.61099999999999</v>
      </c>
      <c r="M300" s="505">
        <v>0</v>
      </c>
      <c r="N300" s="479">
        <v>39448</v>
      </c>
      <c r="O300" s="804">
        <f>L300*5</f>
        <v>788.05499999999995</v>
      </c>
      <c r="P300" s="727" t="s">
        <v>1732</v>
      </c>
      <c r="Q300" s="845">
        <f>222.97+483.374</f>
        <v>706.34400000000005</v>
      </c>
      <c r="R300" s="478"/>
      <c r="S300" s="478"/>
      <c r="T300" s="880">
        <v>40646</v>
      </c>
      <c r="U300" s="479">
        <v>40543</v>
      </c>
      <c r="V300" s="478">
        <v>472.83299999999997</v>
      </c>
      <c r="W300" s="869">
        <f t="shared" si="18"/>
        <v>1.4938551243250791</v>
      </c>
      <c r="X300" s="866" t="s">
        <v>1731</v>
      </c>
      <c r="Y300" s="419" t="s">
        <v>2899</v>
      </c>
      <c r="Z300" s="532" t="s">
        <v>2476</v>
      </c>
      <c r="AA300" s="848">
        <v>40662</v>
      </c>
      <c r="AB300" s="805"/>
      <c r="AC300" s="805">
        <v>40542</v>
      </c>
      <c r="AD300" s="805">
        <v>38959</v>
      </c>
      <c r="AE300" s="805"/>
      <c r="AF300" s="805"/>
      <c r="AG300" s="802"/>
      <c r="AH300" s="803"/>
      <c r="AI300" s="845"/>
      <c r="AJ300" s="802"/>
      <c r="AK300" s="480"/>
      <c r="AL300" s="847"/>
      <c r="AM300" s="897"/>
      <c r="AN300" s="802"/>
      <c r="AO300" s="480" t="s">
        <v>2477</v>
      </c>
      <c r="AP300" s="787"/>
      <c r="AQ300" s="794"/>
    </row>
    <row r="301" spans="1:48" s="851" customFormat="1" ht="25.5">
      <c r="A301" s="466" t="s">
        <v>1991</v>
      </c>
      <c r="B301" s="467" t="s">
        <v>2518</v>
      </c>
      <c r="C301" s="445" t="s">
        <v>2763</v>
      </c>
      <c r="D301" s="449" t="s">
        <v>1176</v>
      </c>
      <c r="E301" s="445" t="s">
        <v>2000</v>
      </c>
      <c r="F301" s="419">
        <v>1</v>
      </c>
      <c r="G301" s="445" t="s">
        <v>2764</v>
      </c>
      <c r="H301" s="448" t="s">
        <v>968</v>
      </c>
      <c r="I301" s="455" t="s">
        <v>911</v>
      </c>
      <c r="J301" s="419" t="s">
        <v>1577</v>
      </c>
      <c r="K301" s="448" t="s">
        <v>2001</v>
      </c>
      <c r="L301" s="432">
        <v>492.84</v>
      </c>
      <c r="M301" s="423">
        <v>20</v>
      </c>
      <c r="N301" s="444">
        <v>39448</v>
      </c>
      <c r="O301" s="506">
        <f>L301*5</f>
        <v>2464.1999999999998</v>
      </c>
      <c r="P301" s="445" t="s">
        <v>1731</v>
      </c>
      <c r="Q301" s="422">
        <f>1164.213</f>
        <v>1164.213</v>
      </c>
      <c r="R301" s="425"/>
      <c r="S301" s="425"/>
      <c r="T301" s="733">
        <v>40848</v>
      </c>
      <c r="U301" s="733">
        <v>40543</v>
      </c>
      <c r="V301" s="425">
        <v>1418.52</v>
      </c>
      <c r="W301" s="869">
        <f t="shared" si="18"/>
        <v>0.82072371203789862</v>
      </c>
      <c r="X301" s="887" t="s">
        <v>1731</v>
      </c>
      <c r="Y301" s="445" t="s">
        <v>1615</v>
      </c>
      <c r="Z301" s="419" t="s">
        <v>1616</v>
      </c>
      <c r="AA301" s="550">
        <v>40402</v>
      </c>
      <c r="AB301" s="444">
        <v>40693</v>
      </c>
      <c r="AC301" s="444">
        <v>40542</v>
      </c>
      <c r="AD301" s="444">
        <v>40633</v>
      </c>
      <c r="AE301" s="444"/>
      <c r="AF301" s="444"/>
      <c r="AG301" s="419"/>
      <c r="AH301" s="423"/>
      <c r="AI301" s="425"/>
      <c r="AJ301" s="423"/>
      <c r="AK301" s="423"/>
      <c r="AL301" s="548"/>
      <c r="AM301" s="419"/>
      <c r="AN301" s="419"/>
      <c r="AO301" s="419" t="s">
        <v>2493</v>
      </c>
      <c r="AP301" s="468"/>
      <c r="AQ301" s="782"/>
      <c r="AR301" s="474"/>
      <c r="AS301" s="474"/>
      <c r="AT301" s="474"/>
      <c r="AU301" s="474"/>
      <c r="AV301" s="474"/>
    </row>
    <row r="302" spans="1:48" s="474" customFormat="1" ht="12.75" customHeight="1">
      <c r="A302" s="491" t="s">
        <v>2486</v>
      </c>
      <c r="B302" s="467" t="s">
        <v>2570</v>
      </c>
      <c r="C302" s="445" t="s">
        <v>2485</v>
      </c>
      <c r="D302" s="462" t="s">
        <v>1176</v>
      </c>
      <c r="E302" s="445" t="s">
        <v>135</v>
      </c>
      <c r="F302" s="419">
        <v>1</v>
      </c>
      <c r="G302" s="419"/>
      <c r="H302" s="448" t="s">
        <v>968</v>
      </c>
      <c r="I302" s="887" t="s">
        <v>1082</v>
      </c>
      <c r="J302" s="937" t="s">
        <v>1357</v>
      </c>
      <c r="K302" s="549" t="s">
        <v>2001</v>
      </c>
      <c r="L302" s="497">
        <v>56.874000000000002</v>
      </c>
      <c r="M302" s="423">
        <v>0</v>
      </c>
      <c r="N302" s="444">
        <v>39448</v>
      </c>
      <c r="O302" s="506">
        <f>L302*5</f>
        <v>284.37</v>
      </c>
      <c r="P302" s="445" t="s">
        <v>728</v>
      </c>
      <c r="Q302" s="424">
        <f>222.666</f>
        <v>222.666</v>
      </c>
      <c r="R302" s="425"/>
      <c r="S302" s="425"/>
      <c r="T302" s="733">
        <v>40644</v>
      </c>
      <c r="U302" s="848">
        <v>40543</v>
      </c>
      <c r="V302" s="506">
        <v>170.62200000000001</v>
      </c>
      <c r="W302" s="869">
        <f t="shared" si="18"/>
        <v>1.3050251432992228</v>
      </c>
      <c r="X302" s="887" t="s">
        <v>728</v>
      </c>
      <c r="Y302" s="445" t="s">
        <v>1365</v>
      </c>
      <c r="Z302" s="419" t="s">
        <v>835</v>
      </c>
      <c r="AA302" s="733">
        <v>40693</v>
      </c>
      <c r="AB302" s="733"/>
      <c r="AC302" s="733">
        <v>40542</v>
      </c>
      <c r="AD302" s="444">
        <v>40365</v>
      </c>
      <c r="AE302" s="733"/>
      <c r="AF302" s="733"/>
      <c r="AG302" s="548"/>
      <c r="AH302" s="953"/>
      <c r="AI302" s="506"/>
      <c r="AJ302" s="873"/>
      <c r="AK302" s="423"/>
      <c r="AL302" s="548"/>
      <c r="AM302" s="419"/>
      <c r="AN302" s="419"/>
      <c r="AO302" s="419" t="s">
        <v>2489</v>
      </c>
      <c r="AP302" s="468"/>
      <c r="AQ302" s="52"/>
    </row>
    <row r="303" spans="1:48" s="474" customFormat="1" ht="28.5" customHeight="1">
      <c r="A303" s="491" t="s">
        <v>2487</v>
      </c>
      <c r="B303" s="467" t="s">
        <v>2568</v>
      </c>
      <c r="C303" s="445" t="s">
        <v>2491</v>
      </c>
      <c r="D303" s="462" t="s">
        <v>1176</v>
      </c>
      <c r="E303" s="445" t="s">
        <v>357</v>
      </c>
      <c r="F303" s="419">
        <v>1</v>
      </c>
      <c r="G303" s="419"/>
      <c r="H303" s="448" t="s">
        <v>968</v>
      </c>
      <c r="I303" s="455" t="s">
        <v>1082</v>
      </c>
      <c r="J303" s="507" t="s">
        <v>1357</v>
      </c>
      <c r="K303" s="448" t="s">
        <v>2001</v>
      </c>
      <c r="L303" s="423">
        <f>O303/4.42</f>
        <v>29.474434389140271</v>
      </c>
      <c r="M303" s="423">
        <v>2</v>
      </c>
      <c r="N303" s="444">
        <v>39661</v>
      </c>
      <c r="O303" s="425">
        <v>130.27699999999999</v>
      </c>
      <c r="P303" s="445" t="s">
        <v>728</v>
      </c>
      <c r="Q303" s="422">
        <f>7.21+19.87+27.26+28.459+24.312</f>
        <v>107.111</v>
      </c>
      <c r="R303" s="425"/>
      <c r="S303" s="425"/>
      <c r="T303" s="733">
        <v>40336</v>
      </c>
      <c r="U303" s="848">
        <v>41213</v>
      </c>
      <c r="V303" s="506">
        <v>122.14660606312765</v>
      </c>
      <c r="W303" s="869">
        <f t="shared" si="18"/>
        <v>0.8769052489648631</v>
      </c>
      <c r="X303" s="951" t="s">
        <v>728</v>
      </c>
      <c r="Y303" s="493" t="s">
        <v>2899</v>
      </c>
      <c r="Z303" s="548" t="s">
        <v>2495</v>
      </c>
      <c r="AA303" s="733">
        <v>40693</v>
      </c>
      <c r="AB303" s="733"/>
      <c r="AC303" s="733">
        <v>40542</v>
      </c>
      <c r="AD303" s="444">
        <v>40221</v>
      </c>
      <c r="AE303" s="444"/>
      <c r="AF303" s="733"/>
      <c r="AG303" s="548"/>
      <c r="AH303" s="873"/>
      <c r="AI303" s="506"/>
      <c r="AJ303" s="873"/>
      <c r="AK303" s="423"/>
      <c r="AL303" s="548"/>
      <c r="AM303" s="419"/>
      <c r="AN303" s="419"/>
      <c r="AO303" s="419" t="s">
        <v>2492</v>
      </c>
      <c r="AP303" s="468"/>
      <c r="AQ303" s="466"/>
      <c r="AR303" s="489"/>
      <c r="AS303" s="489"/>
      <c r="AT303" s="489"/>
      <c r="AU303" s="489"/>
      <c r="AV303" s="489"/>
    </row>
    <row r="304" spans="1:48" s="474" customFormat="1" ht="25.5">
      <c r="A304" s="491" t="s">
        <v>2540</v>
      </c>
      <c r="B304" s="451" t="s">
        <v>2590</v>
      </c>
      <c r="C304" s="445" t="s">
        <v>2552</v>
      </c>
      <c r="D304" s="449" t="s">
        <v>1176</v>
      </c>
      <c r="E304" s="419" t="s">
        <v>2554</v>
      </c>
      <c r="F304" s="419">
        <v>1</v>
      </c>
      <c r="G304" s="419"/>
      <c r="H304" s="455" t="s">
        <v>968</v>
      </c>
      <c r="I304" s="729" t="s">
        <v>1548</v>
      </c>
      <c r="J304" s="445" t="s">
        <v>2555</v>
      </c>
      <c r="K304" s="450" t="s">
        <v>2556</v>
      </c>
      <c r="L304" s="423">
        <v>35.957999999999998</v>
      </c>
      <c r="M304" s="423">
        <v>0</v>
      </c>
      <c r="N304" s="444">
        <v>39909</v>
      </c>
      <c r="O304" s="425">
        <v>107.876</v>
      </c>
      <c r="P304" s="445" t="s">
        <v>728</v>
      </c>
      <c r="Q304" s="422">
        <f>9.132+12.574+12.85+12.103+2.018</f>
        <v>48.677</v>
      </c>
      <c r="R304" s="425"/>
      <c r="S304" s="425"/>
      <c r="T304" s="733">
        <v>40802</v>
      </c>
      <c r="U304" s="444">
        <v>41274</v>
      </c>
      <c r="V304" s="425">
        <v>134.47306849315066</v>
      </c>
      <c r="W304" s="400">
        <f t="shared" si="18"/>
        <v>0.36198326211675125</v>
      </c>
      <c r="X304" s="448" t="s">
        <v>728</v>
      </c>
      <c r="Y304" s="445" t="s">
        <v>2900</v>
      </c>
      <c r="Z304" s="445" t="s">
        <v>2752</v>
      </c>
      <c r="AA304" s="733">
        <v>40730</v>
      </c>
      <c r="AB304" s="444"/>
      <c r="AC304" s="444">
        <v>40542</v>
      </c>
      <c r="AD304" s="444">
        <v>40039</v>
      </c>
      <c r="AE304" s="444"/>
      <c r="AF304" s="444"/>
      <c r="AG304" s="419"/>
      <c r="AH304" s="419"/>
      <c r="AI304" s="419"/>
      <c r="AJ304" s="419"/>
      <c r="AK304" s="419"/>
      <c r="AL304" s="548"/>
      <c r="AM304" s="419"/>
      <c r="AN304" s="419"/>
      <c r="AO304" s="419"/>
      <c r="AP304" s="489"/>
      <c r="AQ304" s="782"/>
    </row>
    <row r="305" spans="1:48" s="474" customFormat="1" ht="25.5">
      <c r="A305" s="491" t="s">
        <v>2541</v>
      </c>
      <c r="B305" s="467" t="s">
        <v>2591</v>
      </c>
      <c r="C305" s="445" t="s">
        <v>2553</v>
      </c>
      <c r="D305" s="449" t="s">
        <v>1176</v>
      </c>
      <c r="E305" s="445" t="s">
        <v>2554</v>
      </c>
      <c r="F305" s="419">
        <v>1</v>
      </c>
      <c r="G305" s="420"/>
      <c r="H305" s="455" t="s">
        <v>968</v>
      </c>
      <c r="I305" s="729" t="s">
        <v>1548</v>
      </c>
      <c r="J305" s="445" t="s">
        <v>2555</v>
      </c>
      <c r="K305" s="450" t="s">
        <v>2556</v>
      </c>
      <c r="L305" s="423">
        <v>62.322000000000003</v>
      </c>
      <c r="M305" s="423">
        <v>0</v>
      </c>
      <c r="N305" s="444">
        <v>39448</v>
      </c>
      <c r="O305" s="425">
        <v>311.61</v>
      </c>
      <c r="P305" s="445" t="s">
        <v>728</v>
      </c>
      <c r="Q305" s="422">
        <f>19.882+42.977+49.977+49.184+48.349+11.21</f>
        <v>221.57899999999998</v>
      </c>
      <c r="R305" s="425"/>
      <c r="S305" s="425"/>
      <c r="T305" s="733">
        <v>40802</v>
      </c>
      <c r="U305" s="444">
        <v>41274</v>
      </c>
      <c r="V305" s="425">
        <v>311.78074520547949</v>
      </c>
      <c r="W305" s="400">
        <f t="shared" si="18"/>
        <v>0.71068853162810952</v>
      </c>
      <c r="X305" s="448" t="s">
        <v>728</v>
      </c>
      <c r="Y305" s="445" t="s">
        <v>2900</v>
      </c>
      <c r="Z305" s="445" t="s">
        <v>2752</v>
      </c>
      <c r="AA305" s="733">
        <v>40730</v>
      </c>
      <c r="AB305" s="444"/>
      <c r="AC305" s="444">
        <v>40382</v>
      </c>
      <c r="AD305" s="444">
        <v>40056</v>
      </c>
      <c r="AE305" s="444"/>
      <c r="AF305" s="444"/>
      <c r="AG305" s="419"/>
      <c r="AH305" s="419"/>
      <c r="AI305" s="419"/>
      <c r="AJ305" s="419"/>
      <c r="AK305" s="419"/>
      <c r="AL305" s="548"/>
      <c r="AM305" s="419"/>
      <c r="AN305" s="419"/>
      <c r="AO305" s="419"/>
      <c r="AP305" s="489"/>
      <c r="AQ305" s="466"/>
    </row>
    <row r="306" spans="1:48" s="474" customFormat="1" ht="14.25" customHeight="1">
      <c r="A306" s="491" t="s">
        <v>2563</v>
      </c>
      <c r="B306" s="467" t="s">
        <v>2592</v>
      </c>
      <c r="C306" s="445" t="s">
        <v>2574</v>
      </c>
      <c r="D306" s="449" t="s">
        <v>1176</v>
      </c>
      <c r="E306" s="445" t="s">
        <v>2554</v>
      </c>
      <c r="F306" s="419">
        <v>1</v>
      </c>
      <c r="G306" s="420"/>
      <c r="H306" s="448" t="s">
        <v>968</v>
      </c>
      <c r="I306" s="729" t="s">
        <v>1548</v>
      </c>
      <c r="J306" s="445" t="s">
        <v>2555</v>
      </c>
      <c r="K306" s="450" t="s">
        <v>2556</v>
      </c>
      <c r="L306" s="423">
        <v>105.223</v>
      </c>
      <c r="M306" s="423">
        <v>0</v>
      </c>
      <c r="N306" s="444">
        <v>39448</v>
      </c>
      <c r="O306" s="425">
        <v>526.11400000000003</v>
      </c>
      <c r="P306" s="445" t="s">
        <v>728</v>
      </c>
      <c r="Q306" s="422">
        <f>83.499+76.106+70.913+66.962+52.526+13.365</f>
        <v>363.37099999999998</v>
      </c>
      <c r="R306" s="425"/>
      <c r="S306" s="425"/>
      <c r="T306" s="733">
        <v>40802</v>
      </c>
      <c r="U306" s="444">
        <v>41274</v>
      </c>
      <c r="V306" s="425">
        <v>526.40328219178082</v>
      </c>
      <c r="W306" s="869">
        <f t="shared" si="18"/>
        <v>0.69029014881334949</v>
      </c>
      <c r="X306" s="549" t="s">
        <v>728</v>
      </c>
      <c r="Y306" s="445" t="s">
        <v>2900</v>
      </c>
      <c r="Z306" s="445" t="s">
        <v>2752</v>
      </c>
      <c r="AA306" s="733">
        <v>40749</v>
      </c>
      <c r="AB306" s="444"/>
      <c r="AC306" s="733">
        <v>40747</v>
      </c>
      <c r="AD306" s="444"/>
      <c r="AE306" s="444"/>
      <c r="AF306" s="444"/>
      <c r="AG306" s="419"/>
      <c r="AH306" s="419"/>
      <c r="AI306" s="419"/>
      <c r="AJ306" s="419"/>
      <c r="AK306" s="419"/>
      <c r="AL306" s="548"/>
      <c r="AM306" s="419"/>
      <c r="AN306" s="419"/>
      <c r="AO306" s="419"/>
      <c r="AP306" s="489"/>
      <c r="AQ306" s="466"/>
    </row>
    <row r="307" spans="1:48" s="474" customFormat="1" ht="25.5">
      <c r="A307" s="459" t="s">
        <v>371</v>
      </c>
      <c r="B307" s="731" t="s">
        <v>2605</v>
      </c>
      <c r="C307" s="445" t="s">
        <v>2468</v>
      </c>
      <c r="D307" s="449" t="s">
        <v>1176</v>
      </c>
      <c r="E307" s="445" t="s">
        <v>100</v>
      </c>
      <c r="F307" s="480">
        <v>1</v>
      </c>
      <c r="G307" s="445" t="s">
        <v>2766</v>
      </c>
      <c r="H307" s="533" t="s">
        <v>968</v>
      </c>
      <c r="I307" s="455" t="s">
        <v>911</v>
      </c>
      <c r="J307" s="419" t="s">
        <v>1577</v>
      </c>
      <c r="K307" s="533" t="s">
        <v>2001</v>
      </c>
      <c r="L307" s="505">
        <f>O307/4</f>
        <v>560.36625000000004</v>
      </c>
      <c r="M307" s="505">
        <v>0</v>
      </c>
      <c r="N307" s="479">
        <v>39814</v>
      </c>
      <c r="O307" s="478">
        <v>2241.4650000000001</v>
      </c>
      <c r="P307" s="532" t="s">
        <v>728</v>
      </c>
      <c r="Q307" s="845">
        <f>351.534+425.195+474.175+308.607</f>
        <v>1559.511</v>
      </c>
      <c r="R307" s="478"/>
      <c r="S307" s="478"/>
      <c r="T307" s="848">
        <v>40464</v>
      </c>
      <c r="U307" s="479">
        <v>41121</v>
      </c>
      <c r="V307" s="478">
        <v>2006.5717500000001</v>
      </c>
      <c r="W307" s="400">
        <f t="shared" si="18"/>
        <v>0.77720171232351887</v>
      </c>
      <c r="X307" s="404" t="s">
        <v>728</v>
      </c>
      <c r="Y307" s="419" t="s">
        <v>2479</v>
      </c>
      <c r="Z307" s="419" t="s">
        <v>2480</v>
      </c>
      <c r="AA307" s="848">
        <v>40143</v>
      </c>
      <c r="AB307" s="479">
        <v>40662</v>
      </c>
      <c r="AC307" s="848">
        <v>40542</v>
      </c>
      <c r="AD307" s="479">
        <v>40203</v>
      </c>
      <c r="AE307" s="479"/>
      <c r="AF307" s="479"/>
      <c r="AG307" s="480"/>
      <c r="AH307" s="505">
        <v>0</v>
      </c>
      <c r="AI307" s="478"/>
      <c r="AJ307" s="480">
        <v>300</v>
      </c>
      <c r="AK307" s="423">
        <f>AJ307*1000/L307</f>
        <v>535.3641480014187</v>
      </c>
      <c r="AL307" s="847"/>
      <c r="AM307" s="480"/>
      <c r="AN307" s="480"/>
      <c r="AO307" s="480" t="s">
        <v>2484</v>
      </c>
      <c r="AP307" s="801"/>
      <c r="AQ307" s="51"/>
    </row>
    <row r="308" spans="1:48" s="474" customFormat="1" ht="25.5">
      <c r="A308" s="459" t="s">
        <v>580</v>
      </c>
      <c r="B308" s="446" t="s">
        <v>2606</v>
      </c>
      <c r="C308" s="419" t="s">
        <v>572</v>
      </c>
      <c r="D308" s="428" t="s">
        <v>1176</v>
      </c>
      <c r="E308" s="419"/>
      <c r="F308" s="419">
        <v>1</v>
      </c>
      <c r="G308" s="445" t="s">
        <v>2841</v>
      </c>
      <c r="H308" s="404" t="s">
        <v>968</v>
      </c>
      <c r="I308" s="471" t="s">
        <v>1736</v>
      </c>
      <c r="J308" s="419" t="s">
        <v>983</v>
      </c>
      <c r="K308" s="533" t="s">
        <v>2001</v>
      </c>
      <c r="L308" s="425">
        <v>632.94600000000003</v>
      </c>
      <c r="M308" s="423"/>
      <c r="N308" s="444">
        <v>39600</v>
      </c>
      <c r="O308" s="425">
        <v>3164.7289999999998</v>
      </c>
      <c r="P308" s="419" t="s">
        <v>1731</v>
      </c>
      <c r="Q308" s="422">
        <f>324.71+746.034</f>
        <v>1070.7439999999999</v>
      </c>
      <c r="R308" s="425"/>
      <c r="S308" s="425"/>
      <c r="T308" s="733">
        <v>39857</v>
      </c>
      <c r="U308" s="733">
        <v>40178</v>
      </c>
      <c r="V308" s="506">
        <v>1002.3090082191781</v>
      </c>
      <c r="W308" s="869">
        <f t="shared" si="18"/>
        <v>1.0682773388442468</v>
      </c>
      <c r="X308" s="951" t="s">
        <v>728</v>
      </c>
      <c r="Y308" s="548" t="s">
        <v>969</v>
      </c>
      <c r="Z308" s="548" t="s">
        <v>908</v>
      </c>
      <c r="AA308" s="550">
        <v>39127</v>
      </c>
      <c r="AB308" s="733">
        <v>40718</v>
      </c>
      <c r="AC308" s="733">
        <v>40382</v>
      </c>
      <c r="AD308" s="444">
        <v>39240</v>
      </c>
      <c r="AE308" s="733"/>
      <c r="AF308" s="733"/>
      <c r="AG308" s="873"/>
      <c r="AH308" s="873"/>
      <c r="AI308" s="506"/>
      <c r="AJ308" s="873"/>
      <c r="AK308" s="423"/>
      <c r="AL308" s="873"/>
      <c r="AM308" s="423"/>
      <c r="AN308" s="423"/>
      <c r="AO308" s="445" t="s">
        <v>2588</v>
      </c>
      <c r="AP308" s="489"/>
      <c r="AQ308" s="51"/>
    </row>
    <row r="309" spans="1:48" s="474" customFormat="1" ht="12.75" customHeight="1">
      <c r="A309" s="459" t="s">
        <v>1260</v>
      </c>
      <c r="B309" s="467" t="s">
        <v>2692</v>
      </c>
      <c r="C309" s="445" t="s">
        <v>2488</v>
      </c>
      <c r="D309" s="449" t="s">
        <v>1176</v>
      </c>
      <c r="E309" s="445" t="s">
        <v>100</v>
      </c>
      <c r="F309" s="419">
        <v>1</v>
      </c>
      <c r="G309" s="445" t="s">
        <v>2767</v>
      </c>
      <c r="H309" s="448" t="s">
        <v>968</v>
      </c>
      <c r="I309" s="887" t="s">
        <v>911</v>
      </c>
      <c r="J309" s="419" t="s">
        <v>1577</v>
      </c>
      <c r="K309" s="448" t="s">
        <v>2001</v>
      </c>
      <c r="L309" s="423">
        <v>424.23099999999999</v>
      </c>
      <c r="M309" s="423">
        <v>0</v>
      </c>
      <c r="N309" s="444">
        <v>39448</v>
      </c>
      <c r="O309" s="425">
        <f>L309*5</f>
        <v>2121.1549999999997</v>
      </c>
      <c r="P309" s="445" t="s">
        <v>728</v>
      </c>
      <c r="Q309" s="422">
        <f>309.292+763.647+806.798+930.855</f>
        <v>2810.5920000000001</v>
      </c>
      <c r="R309" s="425"/>
      <c r="S309" s="425"/>
      <c r="T309" s="733">
        <v>40490</v>
      </c>
      <c r="U309" s="733">
        <v>40908</v>
      </c>
      <c r="V309" s="506">
        <v>1696.924</v>
      </c>
      <c r="W309" s="400">
        <f t="shared" si="18"/>
        <v>1.6562863157100731</v>
      </c>
      <c r="X309" s="951" t="s">
        <v>728</v>
      </c>
      <c r="Y309" s="493" t="s">
        <v>1365</v>
      </c>
      <c r="Z309" s="548" t="s">
        <v>835</v>
      </c>
      <c r="AA309" s="550">
        <v>40060</v>
      </c>
      <c r="AB309" s="733">
        <v>40693</v>
      </c>
      <c r="AC309" s="733">
        <v>40382</v>
      </c>
      <c r="AD309" s="444">
        <v>40148</v>
      </c>
      <c r="AE309" s="733"/>
      <c r="AF309" s="733"/>
      <c r="AG309" s="548"/>
      <c r="AH309" s="873">
        <v>0</v>
      </c>
      <c r="AI309" s="506"/>
      <c r="AJ309" s="873"/>
      <c r="AK309" s="423"/>
      <c r="AL309" s="548"/>
      <c r="AM309" s="419"/>
      <c r="AN309" s="419"/>
      <c r="AO309" s="445" t="s">
        <v>2490</v>
      </c>
      <c r="AP309" s="468"/>
      <c r="AQ309" s="51"/>
    </row>
    <row r="310" spans="1:48" s="474" customFormat="1" ht="12.75" customHeight="1">
      <c r="A310" s="491" t="s">
        <v>3065</v>
      </c>
      <c r="B310" s="467" t="s">
        <v>3062</v>
      </c>
      <c r="C310" s="445" t="s">
        <v>3063</v>
      </c>
      <c r="D310" s="449" t="s">
        <v>1176</v>
      </c>
      <c r="E310" s="445" t="s">
        <v>3064</v>
      </c>
      <c r="F310" s="419">
        <v>1</v>
      </c>
      <c r="G310" s="419"/>
      <c r="H310" s="448" t="s">
        <v>968</v>
      </c>
      <c r="I310" s="471" t="s">
        <v>845</v>
      </c>
      <c r="J310" s="419" t="s">
        <v>346</v>
      </c>
      <c r="K310" s="533" t="s">
        <v>842</v>
      </c>
      <c r="L310" s="423">
        <v>3579.712</v>
      </c>
      <c r="M310" s="423">
        <v>0</v>
      </c>
      <c r="N310" s="444">
        <v>39814</v>
      </c>
      <c r="O310" s="425">
        <v>17898.558000000001</v>
      </c>
      <c r="P310" s="727" t="s">
        <v>1732</v>
      </c>
      <c r="Q310" s="422">
        <f>138.195</f>
        <v>138.19499999999999</v>
      </c>
      <c r="R310" s="425"/>
      <c r="S310" s="425"/>
      <c r="T310" s="733">
        <v>40886</v>
      </c>
      <c r="U310" s="733">
        <v>40908</v>
      </c>
      <c r="V310" s="506">
        <v>10729.328569863013</v>
      </c>
      <c r="W310" s="400">
        <f t="shared" si="18"/>
        <v>1.2880116318570752E-2</v>
      </c>
      <c r="X310" s="887" t="s">
        <v>728</v>
      </c>
      <c r="Y310" s="884" t="s">
        <v>650</v>
      </c>
      <c r="Z310" s="884" t="s">
        <v>1286</v>
      </c>
      <c r="AA310" s="733">
        <v>40842</v>
      </c>
      <c r="AB310" s="733"/>
      <c r="AC310" s="733">
        <v>40382</v>
      </c>
      <c r="AD310" s="444">
        <v>39688</v>
      </c>
      <c r="AE310" s="733"/>
      <c r="AF310" s="733"/>
      <c r="AG310" s="548"/>
      <c r="AH310" s="548"/>
      <c r="AI310" s="548"/>
      <c r="AJ310" s="548"/>
      <c r="AK310" s="419"/>
      <c r="AL310" s="548"/>
      <c r="AM310" s="419"/>
      <c r="AN310" s="419"/>
      <c r="AO310" s="445" t="s">
        <v>3066</v>
      </c>
      <c r="AP310" s="489"/>
      <c r="AQ310" s="466"/>
      <c r="AR310" s="62"/>
      <c r="AS310" s="62"/>
      <c r="AT310" s="62"/>
      <c r="AU310" s="62"/>
      <c r="AV310" s="62"/>
    </row>
    <row r="311" spans="1:48" s="474" customFormat="1" ht="27.75" customHeight="1">
      <c r="A311" s="491" t="s">
        <v>2852</v>
      </c>
      <c r="B311" s="467" t="s">
        <v>2882</v>
      </c>
      <c r="C311" s="445" t="s">
        <v>2858</v>
      </c>
      <c r="D311" s="449" t="s">
        <v>1176</v>
      </c>
      <c r="E311" s="445" t="s">
        <v>1414</v>
      </c>
      <c r="F311" s="419">
        <v>1</v>
      </c>
      <c r="G311" s="419"/>
      <c r="H311" s="448" t="s">
        <v>968</v>
      </c>
      <c r="I311" s="471" t="s">
        <v>1548</v>
      </c>
      <c r="J311" s="726" t="s">
        <v>886</v>
      </c>
      <c r="K311" s="455" t="s">
        <v>1381</v>
      </c>
      <c r="L311" s="425">
        <f>O311/4</f>
        <v>2410.2105000000001</v>
      </c>
      <c r="M311" s="423">
        <v>200</v>
      </c>
      <c r="N311" s="444">
        <v>39814</v>
      </c>
      <c r="O311" s="425">
        <v>9640.8420000000006</v>
      </c>
      <c r="P311" s="507" t="s">
        <v>1731</v>
      </c>
      <c r="Q311" s="422">
        <f>385.363+778.179+2199.502+1047.818</f>
        <v>4410.8620000000001</v>
      </c>
      <c r="R311" s="425"/>
      <c r="S311" s="425"/>
      <c r="T311" s="733">
        <v>40891</v>
      </c>
      <c r="U311" s="733">
        <v>41206</v>
      </c>
      <c r="V311" s="506">
        <v>8739.3968912741602</v>
      </c>
      <c r="W311" s="400">
        <f t="shared" si="18"/>
        <v>0.50471011385282427</v>
      </c>
      <c r="X311" s="887" t="s">
        <v>1731</v>
      </c>
      <c r="Y311" s="493" t="s">
        <v>2863</v>
      </c>
      <c r="Z311" s="493" t="s">
        <v>2864</v>
      </c>
      <c r="AA311" s="733">
        <v>40893</v>
      </c>
      <c r="AB311" s="733"/>
      <c r="AC311" s="733">
        <v>40382</v>
      </c>
      <c r="AD311" s="444">
        <v>40256</v>
      </c>
      <c r="AE311" s="733"/>
      <c r="AF311" s="444"/>
      <c r="AG311" s="419"/>
      <c r="AH311" s="548">
        <v>0</v>
      </c>
      <c r="AI311" s="548"/>
      <c r="AJ311" s="548">
        <v>818</v>
      </c>
      <c r="AK311" s="423">
        <f>AJ311*1000/L311</f>
        <v>339.38944337019524</v>
      </c>
      <c r="AL311" s="548"/>
      <c r="AM311" s="419"/>
      <c r="AN311" s="419"/>
      <c r="AO311" s="445" t="s">
        <v>2862</v>
      </c>
      <c r="AP311" s="428"/>
      <c r="AQ311" s="419"/>
    </row>
    <row r="312" spans="1:48" s="474" customFormat="1" ht="27" customHeight="1">
      <c r="A312" s="491" t="s">
        <v>2914</v>
      </c>
      <c r="B312" s="467" t="s">
        <v>2957</v>
      </c>
      <c r="C312" s="445" t="s">
        <v>2917</v>
      </c>
      <c r="D312" s="449" t="s">
        <v>1176</v>
      </c>
      <c r="E312" s="445" t="s">
        <v>184</v>
      </c>
      <c r="F312" s="419">
        <v>1</v>
      </c>
      <c r="G312" s="419"/>
      <c r="H312" s="448" t="s">
        <v>968</v>
      </c>
      <c r="I312" s="455" t="s">
        <v>971</v>
      </c>
      <c r="J312" s="513" t="s">
        <v>2185</v>
      </c>
      <c r="K312" s="533" t="s">
        <v>2001</v>
      </c>
      <c r="L312" s="425">
        <v>801.99900000000002</v>
      </c>
      <c r="M312" s="423">
        <v>200</v>
      </c>
      <c r="N312" s="444">
        <v>39448</v>
      </c>
      <c r="O312" s="425">
        <f>L312*5</f>
        <v>4009.9949999999999</v>
      </c>
      <c r="P312" s="513" t="s">
        <v>728</v>
      </c>
      <c r="Q312" s="422">
        <f>341.131+579.098+765.186+536.705+407.729</f>
        <v>2629.8489999999997</v>
      </c>
      <c r="R312" s="425"/>
      <c r="S312" s="425"/>
      <c r="T312" s="733">
        <v>40283</v>
      </c>
      <c r="U312" s="733">
        <v>41213</v>
      </c>
      <c r="V312" s="506">
        <v>3798.6699626571594</v>
      </c>
      <c r="W312" s="869">
        <f t="shared" si="18"/>
        <v>0.69230784086344455</v>
      </c>
      <c r="X312" s="549" t="s">
        <v>728</v>
      </c>
      <c r="Y312" s="548" t="s">
        <v>1084</v>
      </c>
      <c r="Z312" s="445" t="s">
        <v>2918</v>
      </c>
      <c r="AA312" s="733">
        <v>40926</v>
      </c>
      <c r="AB312" s="444"/>
      <c r="AC312" s="444">
        <v>40382</v>
      </c>
      <c r="AD312" s="444">
        <v>40138</v>
      </c>
      <c r="AE312" s="444"/>
      <c r="AF312" s="444"/>
      <c r="AG312" s="419"/>
      <c r="AH312" s="419">
        <v>0</v>
      </c>
      <c r="AI312" s="419"/>
      <c r="AJ312" s="423">
        <f>370/31.19</f>
        <v>11.862776530939403</v>
      </c>
      <c r="AK312" s="432">
        <f>AJ312*1000/L312</f>
        <v>14.791510377119426</v>
      </c>
      <c r="AL312" s="420"/>
      <c r="AM312" s="419">
        <v>692</v>
      </c>
      <c r="AN312" s="419"/>
      <c r="AO312" s="445" t="s">
        <v>2919</v>
      </c>
      <c r="AP312" s="489"/>
      <c r="AQ312" s="466"/>
    </row>
    <row r="313" spans="1:48" s="474" customFormat="1" ht="12.75" customHeight="1">
      <c r="A313" s="491" t="s">
        <v>2984</v>
      </c>
      <c r="B313" s="467" t="s">
        <v>3067</v>
      </c>
      <c r="C313" s="445" t="s">
        <v>3002</v>
      </c>
      <c r="D313" s="449" t="s">
        <v>1176</v>
      </c>
      <c r="E313" s="445" t="s">
        <v>188</v>
      </c>
      <c r="F313" s="419">
        <v>1</v>
      </c>
      <c r="G313" s="419"/>
      <c r="H313" s="448" t="s">
        <v>968</v>
      </c>
      <c r="I313" s="455" t="s">
        <v>2318</v>
      </c>
      <c r="J313" s="507" t="s">
        <v>3003</v>
      </c>
      <c r="K313" s="533" t="s">
        <v>2001</v>
      </c>
      <c r="L313" s="425">
        <f>O313/5</f>
        <v>2741.4263999999998</v>
      </c>
      <c r="M313" s="423">
        <v>0</v>
      </c>
      <c r="N313" s="444">
        <v>39448</v>
      </c>
      <c r="O313" s="425">
        <v>13707.132</v>
      </c>
      <c r="P313" s="513" t="s">
        <v>728</v>
      </c>
      <c r="Q313" s="422">
        <f>2347.724+2059.009+2346.012+2052.468+711.913+740.882+1116.306+1247.875+488.61+596.333</f>
        <v>13707.132000000001</v>
      </c>
      <c r="R313" s="425"/>
      <c r="S313" s="425"/>
      <c r="T313" s="733">
        <v>40889</v>
      </c>
      <c r="U313" s="444">
        <v>41243</v>
      </c>
      <c r="V313" s="425">
        <v>13481.80928219178</v>
      </c>
      <c r="W313" s="400">
        <f t="shared" si="18"/>
        <v>1.0167130919220058</v>
      </c>
      <c r="X313" s="448" t="s">
        <v>728</v>
      </c>
      <c r="Y313" s="419" t="s">
        <v>1084</v>
      </c>
      <c r="Z313" s="445" t="s">
        <v>3004</v>
      </c>
      <c r="AA313" s="733">
        <v>40990</v>
      </c>
      <c r="AB313" s="444"/>
      <c r="AC313" s="444">
        <v>40984</v>
      </c>
      <c r="AD313" s="444">
        <v>40849</v>
      </c>
      <c r="AE313" s="444"/>
      <c r="AF313" s="444"/>
      <c r="AG313" s="419"/>
      <c r="AH313" s="419">
        <v>0</v>
      </c>
      <c r="AI313" s="419"/>
      <c r="AJ313" s="419"/>
      <c r="AK313" s="423"/>
      <c r="AL313" s="548"/>
      <c r="AM313" s="419"/>
      <c r="AN313" s="419"/>
      <c r="AO313" s="445"/>
      <c r="AP313" s="489"/>
      <c r="AQ313" s="466"/>
    </row>
    <row r="314" spans="1:48" s="474" customFormat="1" ht="12.75" customHeight="1">
      <c r="A314" s="491" t="s">
        <v>2970</v>
      </c>
      <c r="B314" s="467" t="s">
        <v>3068</v>
      </c>
      <c r="C314" s="445" t="s">
        <v>2985</v>
      </c>
      <c r="D314" s="449" t="s">
        <v>1176</v>
      </c>
      <c r="E314" s="445" t="s">
        <v>1414</v>
      </c>
      <c r="F314" s="419">
        <v>1</v>
      </c>
      <c r="G314" s="419"/>
      <c r="H314" s="448" t="s">
        <v>968</v>
      </c>
      <c r="I314" s="471" t="s">
        <v>1548</v>
      </c>
      <c r="J314" s="726" t="s">
        <v>886</v>
      </c>
      <c r="K314" s="533" t="s">
        <v>2001</v>
      </c>
      <c r="L314" s="425">
        <f>O314/5</f>
        <v>1666.86</v>
      </c>
      <c r="M314" s="423">
        <v>222</v>
      </c>
      <c r="N314" s="444">
        <v>39448</v>
      </c>
      <c r="O314" s="425">
        <v>8334.2999999999993</v>
      </c>
      <c r="P314" s="513" t="s">
        <v>728</v>
      </c>
      <c r="Q314" s="422">
        <f>1255.608+1453.567+1653.286+2676.683+1385.588</f>
        <v>8424.732</v>
      </c>
      <c r="R314" s="425"/>
      <c r="S314" s="425"/>
      <c r="T314" s="733">
        <v>40903</v>
      </c>
      <c r="U314" s="444">
        <v>41274</v>
      </c>
      <c r="V314" s="425">
        <v>8340.3881208481889</v>
      </c>
      <c r="W314" s="400">
        <f t="shared" si="18"/>
        <v>1.0101127043405784</v>
      </c>
      <c r="X314" s="448" t="s">
        <v>728</v>
      </c>
      <c r="Y314" s="419" t="s">
        <v>2899</v>
      </c>
      <c r="Z314" s="445" t="s">
        <v>2987</v>
      </c>
      <c r="AA314" s="733">
        <v>40974</v>
      </c>
      <c r="AB314" s="444"/>
      <c r="AC314" s="444">
        <v>40900</v>
      </c>
      <c r="AD314" s="444">
        <v>40663</v>
      </c>
      <c r="AE314" s="444"/>
      <c r="AF314" s="444"/>
      <c r="AG314" s="419"/>
      <c r="AH314" s="419">
        <v>444</v>
      </c>
      <c r="AI314" s="425">
        <f>3300000/AH314</f>
        <v>7432.4324324324325</v>
      </c>
      <c r="AJ314" s="423">
        <f>8658/29.29</f>
        <v>295.59576647319903</v>
      </c>
      <c r="AK314" s="423">
        <f>AJ314*1000/L314</f>
        <v>177.33688880481805</v>
      </c>
      <c r="AL314" s="424">
        <f>AJ314*1000/AH314</f>
        <v>665.75623079549325</v>
      </c>
      <c r="AM314" s="419"/>
      <c r="AN314" s="419"/>
      <c r="AO314" s="445" t="s">
        <v>2986</v>
      </c>
      <c r="AP314" s="489"/>
      <c r="AQ314" s="466"/>
    </row>
    <row r="315" spans="1:48" s="464" customFormat="1" ht="12.75" customHeight="1">
      <c r="A315" s="491" t="s">
        <v>3008</v>
      </c>
      <c r="B315" s="467" t="s">
        <v>3069</v>
      </c>
      <c r="C315" s="445" t="s">
        <v>3010</v>
      </c>
      <c r="D315" s="449" t="s">
        <v>1176</v>
      </c>
      <c r="E315" s="445" t="s">
        <v>3009</v>
      </c>
      <c r="F315" s="419">
        <v>1</v>
      </c>
      <c r="G315" s="419"/>
      <c r="H315" s="448" t="s">
        <v>968</v>
      </c>
      <c r="I315" s="455" t="s">
        <v>911</v>
      </c>
      <c r="J315" s="725" t="s">
        <v>1577</v>
      </c>
      <c r="K315" s="533" t="s">
        <v>2001</v>
      </c>
      <c r="L315" s="425">
        <f>O315/4</f>
        <v>1086.66725</v>
      </c>
      <c r="M315" s="423">
        <v>150</v>
      </c>
      <c r="N315" s="444">
        <v>39814</v>
      </c>
      <c r="O315" s="425">
        <v>4346.6689999999999</v>
      </c>
      <c r="P315" s="513" t="s">
        <v>728</v>
      </c>
      <c r="Q315" s="422">
        <f>746.737+1049.512+583.44+588.915+657.905+302.606+270.902</f>
        <v>4200.0169999999998</v>
      </c>
      <c r="R315" s="425"/>
      <c r="S315" s="425"/>
      <c r="T315" s="733">
        <v>40834</v>
      </c>
      <c r="U315" s="444">
        <v>41274</v>
      </c>
      <c r="V315" s="425">
        <v>4046.6689999999999</v>
      </c>
      <c r="W315" s="400">
        <f t="shared" si="18"/>
        <v>1.0378948710655602</v>
      </c>
      <c r="X315" s="448" t="s">
        <v>728</v>
      </c>
      <c r="Y315" s="391" t="s">
        <v>2180</v>
      </c>
      <c r="Z315" s="445" t="s">
        <v>908</v>
      </c>
      <c r="AA315" s="733">
        <v>40997</v>
      </c>
      <c r="AB315" s="444"/>
      <c r="AC315" s="444">
        <v>40980</v>
      </c>
      <c r="AD315" s="444">
        <v>40780</v>
      </c>
      <c r="AE315" s="444"/>
      <c r="AF315" s="444"/>
      <c r="AG315" s="419"/>
      <c r="AH315" s="419">
        <v>0</v>
      </c>
      <c r="AI315" s="419"/>
      <c r="AJ315" s="419"/>
      <c r="AK315" s="419"/>
      <c r="AL315" s="428"/>
      <c r="AM315" s="419"/>
      <c r="AN315" s="419"/>
      <c r="AO315" s="445"/>
      <c r="AP315" s="489"/>
      <c r="AQ315" s="466"/>
      <c r="AR315" s="474"/>
      <c r="AS315" s="474"/>
      <c r="AT315" s="474"/>
      <c r="AU315" s="474"/>
      <c r="AV315" s="474"/>
    </row>
    <row r="316" spans="1:48" s="464" customFormat="1" ht="12.75" customHeight="1">
      <c r="A316" s="491" t="s">
        <v>3015</v>
      </c>
      <c r="B316" s="467" t="s">
        <v>3051</v>
      </c>
      <c r="C316" s="445" t="s">
        <v>3033</v>
      </c>
      <c r="D316" s="449" t="s">
        <v>1176</v>
      </c>
      <c r="E316" s="445" t="s">
        <v>647</v>
      </c>
      <c r="F316" s="419">
        <v>1</v>
      </c>
      <c r="G316" s="419"/>
      <c r="H316" s="448" t="s">
        <v>968</v>
      </c>
      <c r="I316" s="455" t="s">
        <v>911</v>
      </c>
      <c r="J316" s="507" t="s">
        <v>3034</v>
      </c>
      <c r="K316" s="503" t="s">
        <v>2001</v>
      </c>
      <c r="L316" s="425">
        <v>60.935000000000002</v>
      </c>
      <c r="M316" s="423">
        <v>0</v>
      </c>
      <c r="N316" s="444">
        <v>39448</v>
      </c>
      <c r="O316" s="425">
        <f>5*L316</f>
        <v>304.67500000000001</v>
      </c>
      <c r="P316" s="513" t="s">
        <v>728</v>
      </c>
      <c r="Q316" s="422">
        <f>47.013+51.442+47.653+73.434</f>
        <v>219.542</v>
      </c>
      <c r="R316" s="425"/>
      <c r="S316" s="425"/>
      <c r="T316" s="733">
        <v>40883</v>
      </c>
      <c r="U316" s="444">
        <v>40908</v>
      </c>
      <c r="V316" s="425">
        <v>243.74</v>
      </c>
      <c r="W316" s="400">
        <f t="shared" si="18"/>
        <v>0.90072208090588324</v>
      </c>
      <c r="X316" s="448" t="s">
        <v>728</v>
      </c>
      <c r="Y316" s="445" t="s">
        <v>1084</v>
      </c>
      <c r="Z316" s="445" t="s">
        <v>908</v>
      </c>
      <c r="AA316" s="733">
        <v>41002</v>
      </c>
      <c r="AB316" s="444"/>
      <c r="AC316" s="444">
        <v>40980</v>
      </c>
      <c r="AD316" s="444">
        <v>40767</v>
      </c>
      <c r="AE316" s="444"/>
      <c r="AF316" s="444"/>
      <c r="AG316" s="419"/>
      <c r="AH316" s="419"/>
      <c r="AI316" s="419"/>
      <c r="AJ316" s="419"/>
      <c r="AK316" s="419"/>
      <c r="AL316" s="428"/>
      <c r="AM316" s="419"/>
      <c r="AN316" s="419"/>
      <c r="AO316" s="445"/>
      <c r="AP316" s="489"/>
      <c r="AQ316" s="466"/>
      <c r="AR316" s="474"/>
      <c r="AS316" s="474"/>
      <c r="AT316" s="474"/>
      <c r="AU316" s="474"/>
      <c r="AV316" s="474"/>
    </row>
    <row r="317" spans="1:48" s="464" customFormat="1" ht="12.75" customHeight="1">
      <c r="A317" s="491" t="s">
        <v>2593</v>
      </c>
      <c r="B317" s="467" t="s">
        <v>3052</v>
      </c>
      <c r="C317" s="445" t="s">
        <v>3027</v>
      </c>
      <c r="D317" s="449" t="s">
        <v>1176</v>
      </c>
      <c r="E317" s="445" t="s">
        <v>1414</v>
      </c>
      <c r="F317" s="419">
        <v>1</v>
      </c>
      <c r="G317" s="445" t="s">
        <v>3028</v>
      </c>
      <c r="H317" s="448" t="s">
        <v>968</v>
      </c>
      <c r="I317" s="471" t="s">
        <v>1548</v>
      </c>
      <c r="J317" s="726" t="s">
        <v>886</v>
      </c>
      <c r="K317" s="455" t="s">
        <v>2001</v>
      </c>
      <c r="L317" s="425">
        <v>780.16200000000003</v>
      </c>
      <c r="M317" s="423">
        <v>0</v>
      </c>
      <c r="N317" s="444">
        <v>39448</v>
      </c>
      <c r="O317" s="425">
        <f>L317*5</f>
        <v>3900.8100000000004</v>
      </c>
      <c r="P317" s="532" t="s">
        <v>728</v>
      </c>
      <c r="Q317" s="422">
        <f>1730.409+588.296</f>
        <v>2318.7049999999999</v>
      </c>
      <c r="R317" s="425"/>
      <c r="S317" s="425"/>
      <c r="T317" s="733">
        <v>41103</v>
      </c>
      <c r="U317" s="444">
        <v>41243</v>
      </c>
      <c r="V317" s="425">
        <v>3836.687095890411</v>
      </c>
      <c r="W317" s="400">
        <f t="shared" si="18"/>
        <v>0.60435082195877621</v>
      </c>
      <c r="X317" s="448" t="s">
        <v>728</v>
      </c>
      <c r="Y317" s="445" t="s">
        <v>2603</v>
      </c>
      <c r="Z317" s="445" t="s">
        <v>2206</v>
      </c>
      <c r="AA317" s="733">
        <v>40757</v>
      </c>
      <c r="AB317" s="444">
        <v>41002</v>
      </c>
      <c r="AC317" s="444">
        <v>40980</v>
      </c>
      <c r="AD317" s="444">
        <v>40787</v>
      </c>
      <c r="AE317" s="444"/>
      <c r="AF317" s="444"/>
      <c r="AG317" s="419"/>
      <c r="AH317" s="419">
        <v>0</v>
      </c>
      <c r="AI317" s="419"/>
      <c r="AJ317" s="419"/>
      <c r="AK317" s="419"/>
      <c r="AL317" s="428"/>
      <c r="AM317" s="419"/>
      <c r="AN317" s="419"/>
      <c r="AO317" s="419"/>
      <c r="AP317" s="1086">
        <v>261.88</v>
      </c>
      <c r="AQ317" s="850" t="s">
        <v>3029</v>
      </c>
      <c r="AR317" s="474"/>
      <c r="AS317" s="474"/>
      <c r="AT317" s="474"/>
      <c r="AU317" s="474"/>
      <c r="AV317" s="474"/>
    </row>
    <row r="318" spans="1:48" s="464" customFormat="1" ht="12.75" customHeight="1">
      <c r="A318" s="491" t="s">
        <v>3012</v>
      </c>
      <c r="B318" s="467" t="s">
        <v>3071</v>
      </c>
      <c r="C318" s="445" t="s">
        <v>3011</v>
      </c>
      <c r="D318" s="449" t="s">
        <v>1176</v>
      </c>
      <c r="E318" s="445" t="s">
        <v>357</v>
      </c>
      <c r="F318" s="419">
        <v>1</v>
      </c>
      <c r="G318" s="419"/>
      <c r="H318" s="448" t="s">
        <v>968</v>
      </c>
      <c r="I318" s="533" t="s">
        <v>256</v>
      </c>
      <c r="J318" s="445" t="s">
        <v>1830</v>
      </c>
      <c r="K318" s="533" t="s">
        <v>2001</v>
      </c>
      <c r="L318" s="425">
        <v>1000.48562</v>
      </c>
      <c r="M318" s="423">
        <v>300</v>
      </c>
      <c r="N318" s="444">
        <v>40547</v>
      </c>
      <c r="O318" s="425">
        <v>1917.59743</v>
      </c>
      <c r="P318" s="513" t="s">
        <v>728</v>
      </c>
      <c r="Q318" s="422">
        <f>1295.446+560.083</f>
        <v>1855.529</v>
      </c>
      <c r="R318" s="425"/>
      <c r="S318" s="425"/>
      <c r="T318" s="733">
        <v>41137</v>
      </c>
      <c r="U318" s="444">
        <v>41182</v>
      </c>
      <c r="V318" s="425">
        <v>889.77335016325776</v>
      </c>
      <c r="W318" s="400">
        <f t="shared" si="18"/>
        <v>2.0853951173740404</v>
      </c>
      <c r="X318" s="448" t="s">
        <v>728</v>
      </c>
      <c r="Y318" s="391" t="s">
        <v>2180</v>
      </c>
      <c r="Z318" s="445" t="s">
        <v>908</v>
      </c>
      <c r="AA318" s="733">
        <v>40998</v>
      </c>
      <c r="AB318" s="444"/>
      <c r="AC318" s="444">
        <v>40980</v>
      </c>
      <c r="AD318" s="444">
        <v>40781</v>
      </c>
      <c r="AE318" s="444"/>
      <c r="AF318" s="444"/>
      <c r="AG318" s="419"/>
      <c r="AH318" s="419">
        <v>0</v>
      </c>
      <c r="AI318" s="419"/>
      <c r="AJ318" s="419"/>
      <c r="AK318" s="419"/>
      <c r="AL318" s="428"/>
      <c r="AM318" s="419"/>
      <c r="AN318" s="419"/>
      <c r="AO318" s="445"/>
      <c r="AP318" s="489"/>
      <c r="AQ318" s="466"/>
      <c r="AR318" s="489"/>
      <c r="AS318" s="489"/>
      <c r="AT318" s="489"/>
      <c r="AU318" s="489"/>
      <c r="AV318" s="489"/>
    </row>
    <row r="319" spans="1:48" s="464" customFormat="1" ht="12.75" customHeight="1">
      <c r="A319" s="491" t="s">
        <v>2992</v>
      </c>
      <c r="B319" s="467" t="s">
        <v>3074</v>
      </c>
      <c r="C319" s="445" t="s">
        <v>3005</v>
      </c>
      <c r="D319" s="449" t="s">
        <v>1176</v>
      </c>
      <c r="E319" s="445" t="s">
        <v>2307</v>
      </c>
      <c r="F319" s="419">
        <v>1</v>
      </c>
      <c r="G319" s="419"/>
      <c r="H319" s="448" t="s">
        <v>968</v>
      </c>
      <c r="I319" s="471" t="s">
        <v>1548</v>
      </c>
      <c r="J319" s="726" t="s">
        <v>886</v>
      </c>
      <c r="K319" s="503" t="s">
        <v>2001</v>
      </c>
      <c r="L319" s="425">
        <f>O319/5</f>
        <v>542.19200000000001</v>
      </c>
      <c r="M319" s="423">
        <v>-100</v>
      </c>
      <c r="N319" s="444">
        <v>39448</v>
      </c>
      <c r="O319" s="425">
        <v>2710.96</v>
      </c>
      <c r="P319" s="513" t="s">
        <v>728</v>
      </c>
      <c r="Q319" s="422">
        <f>816.17+716.469+603.008+424.017</f>
        <v>2559.6639999999998</v>
      </c>
      <c r="R319" s="425"/>
      <c r="S319" s="425"/>
      <c r="T319" s="733">
        <v>40897</v>
      </c>
      <c r="U319" s="444">
        <v>40999</v>
      </c>
      <c r="V319" s="425">
        <v>2463.4394751735786</v>
      </c>
      <c r="W319" s="400">
        <f t="shared" si="18"/>
        <v>1.039061046880253</v>
      </c>
      <c r="X319" s="448" t="s">
        <v>728</v>
      </c>
      <c r="Y319" s="391" t="s">
        <v>2180</v>
      </c>
      <c r="Z319" s="445" t="s">
        <v>908</v>
      </c>
      <c r="AA319" s="733">
        <v>40995</v>
      </c>
      <c r="AB319" s="444"/>
      <c r="AC319" s="444">
        <v>40980</v>
      </c>
      <c r="AD319" s="444">
        <v>40890</v>
      </c>
      <c r="AE319" s="444"/>
      <c r="AF319" s="444"/>
      <c r="AG319" s="419"/>
      <c r="AH319" s="419">
        <v>0</v>
      </c>
      <c r="AI319" s="419"/>
      <c r="AJ319" s="419"/>
      <c r="AK319" s="419"/>
      <c r="AL319" s="428"/>
      <c r="AM319" s="419"/>
      <c r="AN319" s="419"/>
      <c r="AO319" s="445"/>
      <c r="AP319" s="489"/>
      <c r="AQ319" s="466"/>
      <c r="AR319" s="489"/>
      <c r="AS319" s="489"/>
      <c r="AT319" s="489"/>
      <c r="AU319" s="489"/>
      <c r="AV319" s="489"/>
    </row>
    <row r="320" spans="1:48" s="464" customFormat="1" ht="12.75" customHeight="1">
      <c r="A320" s="491" t="s">
        <v>2993</v>
      </c>
      <c r="B320" s="467" t="s">
        <v>3073</v>
      </c>
      <c r="C320" s="445" t="s">
        <v>3006</v>
      </c>
      <c r="D320" s="449" t="s">
        <v>1176</v>
      </c>
      <c r="E320" s="445" t="s">
        <v>2307</v>
      </c>
      <c r="F320" s="419">
        <v>1</v>
      </c>
      <c r="G320" s="419"/>
      <c r="H320" s="448" t="s">
        <v>968</v>
      </c>
      <c r="I320" s="471" t="s">
        <v>1548</v>
      </c>
      <c r="J320" s="726" t="s">
        <v>886</v>
      </c>
      <c r="K320" s="533" t="s">
        <v>2001</v>
      </c>
      <c r="L320" s="425">
        <f>O320/5</f>
        <v>248.44279999999998</v>
      </c>
      <c r="M320" s="423">
        <v>-150</v>
      </c>
      <c r="N320" s="444">
        <v>39448</v>
      </c>
      <c r="O320" s="425">
        <v>1242.2139999999999</v>
      </c>
      <c r="P320" s="513" t="s">
        <v>728</v>
      </c>
      <c r="Q320" s="422">
        <f>542.869+358.381+48.855</f>
        <v>950.10500000000002</v>
      </c>
      <c r="R320" s="425"/>
      <c r="S320" s="425"/>
      <c r="T320" s="733">
        <v>40897</v>
      </c>
      <c r="U320" s="444">
        <v>40543</v>
      </c>
      <c r="V320" s="425">
        <v>1195.3283999999999</v>
      </c>
      <c r="W320" s="400">
        <f t="shared" si="18"/>
        <v>0.7948485119235853</v>
      </c>
      <c r="X320" s="448" t="s">
        <v>728</v>
      </c>
      <c r="Y320" s="391" t="s">
        <v>2180</v>
      </c>
      <c r="Z320" s="445" t="s">
        <v>908</v>
      </c>
      <c r="AA320" s="733">
        <v>40995</v>
      </c>
      <c r="AB320" s="444"/>
      <c r="AC320" s="444">
        <v>40980</v>
      </c>
      <c r="AD320" s="444">
        <v>40891</v>
      </c>
      <c r="AE320" s="444"/>
      <c r="AF320" s="444"/>
      <c r="AG320" s="419"/>
      <c r="AH320" s="419">
        <v>0</v>
      </c>
      <c r="AI320" s="419"/>
      <c r="AJ320" s="419"/>
      <c r="AK320" s="419"/>
      <c r="AL320" s="428"/>
      <c r="AM320" s="419"/>
      <c r="AN320" s="419"/>
      <c r="AO320" s="445"/>
      <c r="AP320" s="489"/>
      <c r="AQ320" s="466"/>
      <c r="AR320" s="474"/>
      <c r="AS320" s="474"/>
      <c r="AT320" s="474"/>
      <c r="AU320" s="474"/>
      <c r="AV320" s="474"/>
    </row>
    <row r="321" spans="1:48" s="464" customFormat="1" ht="12.75" customHeight="1">
      <c r="A321" s="459" t="s">
        <v>354</v>
      </c>
      <c r="B321" s="467" t="s">
        <v>3075</v>
      </c>
      <c r="C321" s="445" t="s">
        <v>3030</v>
      </c>
      <c r="D321" s="420" t="s">
        <v>1176</v>
      </c>
      <c r="E321" s="419" t="s">
        <v>357</v>
      </c>
      <c r="F321" s="419">
        <v>1</v>
      </c>
      <c r="G321" s="445" t="s">
        <v>3031</v>
      </c>
      <c r="H321" s="448" t="s">
        <v>968</v>
      </c>
      <c r="I321" s="471" t="s">
        <v>1548</v>
      </c>
      <c r="J321" s="726" t="s">
        <v>886</v>
      </c>
      <c r="K321" s="448" t="s">
        <v>1381</v>
      </c>
      <c r="L321" s="425">
        <v>142.255</v>
      </c>
      <c r="M321" s="423">
        <v>0</v>
      </c>
      <c r="N321" s="444">
        <v>39448</v>
      </c>
      <c r="O321" s="425">
        <f>L321*5</f>
        <v>711.27499999999998</v>
      </c>
      <c r="P321" s="419" t="s">
        <v>1314</v>
      </c>
      <c r="Q321" s="422">
        <f>111.189+113.791+113.268+109.655+95.009</f>
        <v>542.91200000000003</v>
      </c>
      <c r="R321" s="425"/>
      <c r="S321" s="425"/>
      <c r="T321" s="733">
        <v>40132</v>
      </c>
      <c r="U321" s="444">
        <v>41243</v>
      </c>
      <c r="V321" s="425">
        <v>699.58280821917799</v>
      </c>
      <c r="W321" s="400">
        <f t="shared" si="18"/>
        <v>0.77605108876532991</v>
      </c>
      <c r="X321" s="448" t="s">
        <v>1314</v>
      </c>
      <c r="Y321" s="445" t="s">
        <v>2603</v>
      </c>
      <c r="Z321" s="445" t="s">
        <v>3032</v>
      </c>
      <c r="AA321" s="550">
        <v>39865</v>
      </c>
      <c r="AB321" s="496">
        <v>41019</v>
      </c>
      <c r="AC321" s="444">
        <v>40980</v>
      </c>
      <c r="AD321" s="444">
        <v>40031</v>
      </c>
      <c r="AE321" s="444"/>
      <c r="AF321" s="444"/>
      <c r="AG321" s="423"/>
      <c r="AH321" s="423">
        <v>33</v>
      </c>
      <c r="AI321" s="425">
        <f>165000/AH321</f>
        <v>5000</v>
      </c>
      <c r="AJ321" s="425"/>
      <c r="AK321" s="425"/>
      <c r="AL321" s="424"/>
      <c r="AM321" s="423"/>
      <c r="AN321" s="425"/>
      <c r="AO321" s="419"/>
      <c r="AP321" s="489"/>
      <c r="AQ321" s="51"/>
      <c r="AR321" s="474"/>
      <c r="AS321" s="474"/>
      <c r="AT321" s="474"/>
      <c r="AU321" s="474"/>
      <c r="AV321" s="474"/>
    </row>
    <row r="322" spans="1:48" s="464" customFormat="1" ht="12.75" customHeight="1">
      <c r="A322" s="491" t="s">
        <v>2097</v>
      </c>
      <c r="B322" s="467" t="s">
        <v>3104</v>
      </c>
      <c r="C322" s="445" t="s">
        <v>2094</v>
      </c>
      <c r="D322" s="449" t="s">
        <v>1176</v>
      </c>
      <c r="E322" s="445" t="s">
        <v>1117</v>
      </c>
      <c r="F322" s="419">
        <v>1</v>
      </c>
      <c r="G322" s="449" t="s">
        <v>3103</v>
      </c>
      <c r="H322" s="450" t="s">
        <v>968</v>
      </c>
      <c r="I322" s="455" t="s">
        <v>1736</v>
      </c>
      <c r="J322" s="507" t="s">
        <v>1577</v>
      </c>
      <c r="K322" s="448" t="s">
        <v>2001</v>
      </c>
      <c r="L322" s="425">
        <f>O322/5</f>
        <v>633.62400000000002</v>
      </c>
      <c r="M322" s="423">
        <v>0</v>
      </c>
      <c r="N322" s="444">
        <v>39754</v>
      </c>
      <c r="O322" s="985">
        <v>3168.12</v>
      </c>
      <c r="P322" s="513" t="s">
        <v>728</v>
      </c>
      <c r="Q322" s="422">
        <f>99.598+718.94+697.139</f>
        <v>1515.6770000000001</v>
      </c>
      <c r="R322" s="425"/>
      <c r="S322" s="425"/>
      <c r="T322" s="733">
        <v>40695</v>
      </c>
      <c r="U322" s="444">
        <v>40543</v>
      </c>
      <c r="V322" s="425">
        <v>1369.6694136986303</v>
      </c>
      <c r="W322" s="400">
        <f t="shared" si="18"/>
        <v>1.1066006036501126</v>
      </c>
      <c r="X322" s="448" t="s">
        <v>728</v>
      </c>
      <c r="Y322" s="445" t="s">
        <v>1615</v>
      </c>
      <c r="Z322" s="445" t="s">
        <v>1616</v>
      </c>
      <c r="AA322" s="550">
        <v>40480</v>
      </c>
      <c r="AB322" s="496">
        <v>41044</v>
      </c>
      <c r="AC322" s="444">
        <v>40980</v>
      </c>
      <c r="AD322" s="444">
        <v>40987</v>
      </c>
      <c r="AE322" s="444"/>
      <c r="AF322" s="444"/>
      <c r="AG322" s="423"/>
      <c r="AH322" s="423">
        <v>0</v>
      </c>
      <c r="AI322" s="425"/>
      <c r="AJ322" s="423">
        <f>63/Exch!B11</f>
        <v>74.613325324046855</v>
      </c>
      <c r="AK322" s="423">
        <f>AJ322*1000/L322</f>
        <v>117.75646964768831</v>
      </c>
      <c r="AL322" s="497"/>
      <c r="AM322" s="423"/>
      <c r="AN322" s="423"/>
      <c r="AO322" s="419"/>
      <c r="AP322" s="489"/>
      <c r="AQ322" s="51"/>
      <c r="AR322" s="820"/>
      <c r="AS322" s="820"/>
      <c r="AT322" s="820"/>
      <c r="AU322" s="820"/>
    </row>
    <row r="323" spans="1:48" s="464" customFormat="1" ht="12.75" customHeight="1">
      <c r="A323" s="459" t="s">
        <v>1752</v>
      </c>
      <c r="B323" s="950" t="s">
        <v>4030</v>
      </c>
      <c r="C323" s="419" t="s">
        <v>1759</v>
      </c>
      <c r="D323" s="420" t="s">
        <v>1176</v>
      </c>
      <c r="E323" s="419" t="s">
        <v>1776</v>
      </c>
      <c r="F323" s="419">
        <v>1</v>
      </c>
      <c r="G323" s="445" t="s">
        <v>3092</v>
      </c>
      <c r="H323" s="448" t="s">
        <v>968</v>
      </c>
      <c r="I323" s="533" t="s">
        <v>911</v>
      </c>
      <c r="J323" s="419" t="s">
        <v>973</v>
      </c>
      <c r="K323" s="533" t="s">
        <v>2001</v>
      </c>
      <c r="L323" s="425">
        <v>234.00700000000001</v>
      </c>
      <c r="M323" s="423">
        <v>80</v>
      </c>
      <c r="N323" s="444">
        <v>39448</v>
      </c>
      <c r="O323" s="425">
        <v>1170.0360000000001</v>
      </c>
      <c r="P323" s="419" t="s">
        <v>728</v>
      </c>
      <c r="Q323" s="422">
        <f>88.282+186.63+121.668</f>
        <v>396.58</v>
      </c>
      <c r="R323" s="425"/>
      <c r="S323" s="425"/>
      <c r="T323" s="733">
        <v>40826</v>
      </c>
      <c r="U323" s="444">
        <v>40543</v>
      </c>
      <c r="V323" s="425">
        <v>462.02100000000002</v>
      </c>
      <c r="W323" s="400">
        <f t="shared" si="18"/>
        <v>0.85835925206862884</v>
      </c>
      <c r="X323" s="448" t="s">
        <v>728</v>
      </c>
      <c r="Y323" s="419" t="s">
        <v>1248</v>
      </c>
      <c r="Z323" s="429" t="s">
        <v>665</v>
      </c>
      <c r="AA323" s="848">
        <v>40229</v>
      </c>
      <c r="AB323" s="496">
        <v>41044</v>
      </c>
      <c r="AC323" s="444">
        <v>40980</v>
      </c>
      <c r="AD323" s="444">
        <v>40987</v>
      </c>
      <c r="AE323" s="444"/>
      <c r="AF323" s="444"/>
      <c r="AG323" s="423"/>
      <c r="AH323" s="423">
        <v>0</v>
      </c>
      <c r="AI323" s="425"/>
      <c r="AJ323" s="551">
        <f>60/Exch!B11</f>
        <v>71.060309832425574</v>
      </c>
      <c r="AK323" s="423">
        <f>AJ323*1000/L323</f>
        <v>303.66745367628135</v>
      </c>
      <c r="AL323" s="424"/>
      <c r="AM323" s="423"/>
      <c r="AN323" s="423"/>
      <c r="AO323" s="419"/>
      <c r="AP323" s="732"/>
      <c r="AQ323" s="51"/>
      <c r="AR323" s="474"/>
      <c r="AS323" s="474"/>
      <c r="AT323" s="474"/>
      <c r="AU323" s="474"/>
      <c r="AV323" s="474"/>
    </row>
    <row r="324" spans="1:48" s="464" customFormat="1" ht="12.75" customHeight="1">
      <c r="A324" s="491" t="s">
        <v>3851</v>
      </c>
      <c r="B324" s="467" t="s">
        <v>3108</v>
      </c>
      <c r="C324" s="445" t="s">
        <v>2997</v>
      </c>
      <c r="D324" s="449" t="s">
        <v>1176</v>
      </c>
      <c r="E324" s="445" t="s">
        <v>647</v>
      </c>
      <c r="F324" s="419">
        <v>1</v>
      </c>
      <c r="G324" s="445" t="s">
        <v>3842</v>
      </c>
      <c r="H324" s="448" t="s">
        <v>968</v>
      </c>
      <c r="I324" s="455" t="s">
        <v>911</v>
      </c>
      <c r="J324" s="513" t="s">
        <v>1577</v>
      </c>
      <c r="K324" s="533" t="s">
        <v>2001</v>
      </c>
      <c r="L324" s="425">
        <v>333.87700000000001</v>
      </c>
      <c r="M324" s="423">
        <v>50</v>
      </c>
      <c r="N324" s="444">
        <v>39814</v>
      </c>
      <c r="O324" s="425">
        <v>1335.508</v>
      </c>
      <c r="P324" s="513" t="s">
        <v>728</v>
      </c>
      <c r="Q324" s="422">
        <f>217.636+140.448+96.7+364.423</f>
        <v>819.20699999999999</v>
      </c>
      <c r="R324" s="425"/>
      <c r="S324" s="425"/>
      <c r="T324" s="733">
        <v>40781</v>
      </c>
      <c r="U324" s="444">
        <v>41182</v>
      </c>
      <c r="V324" s="425">
        <v>1134.036882266842</v>
      </c>
      <c r="W324" s="400">
        <f t="shared" si="18"/>
        <v>0.72238126714404194</v>
      </c>
      <c r="X324" s="448" t="s">
        <v>728</v>
      </c>
      <c r="Y324" s="419" t="s">
        <v>3000</v>
      </c>
      <c r="Z324" s="445" t="s">
        <v>2998</v>
      </c>
      <c r="AA324" s="550">
        <v>40382</v>
      </c>
      <c r="AB324" s="444">
        <v>40994</v>
      </c>
      <c r="AC324" s="444">
        <v>40980</v>
      </c>
      <c r="AD324" s="444">
        <v>40471</v>
      </c>
      <c r="AE324" s="444"/>
      <c r="AF324" s="444"/>
      <c r="AG324" s="419"/>
      <c r="AH324" s="423">
        <v>0</v>
      </c>
      <c r="AI324" s="419"/>
      <c r="AJ324" s="740"/>
      <c r="AK324" s="419"/>
      <c r="AL324" s="428"/>
      <c r="AM324" s="419"/>
      <c r="AN324" s="419"/>
      <c r="AO324" s="445"/>
      <c r="AP324" s="489"/>
      <c r="AQ324" s="466"/>
      <c r="AR324" s="474"/>
      <c r="AS324" s="474"/>
      <c r="AT324" s="474"/>
      <c r="AU324" s="474"/>
      <c r="AV324" s="474"/>
    </row>
    <row r="325" spans="1:48" s="464" customFormat="1" ht="12.75" customHeight="1">
      <c r="A325" s="491" t="s">
        <v>2209</v>
      </c>
      <c r="B325" s="467" t="s">
        <v>3109</v>
      </c>
      <c r="C325" s="445" t="s">
        <v>2999</v>
      </c>
      <c r="D325" s="449" t="s">
        <v>1176</v>
      </c>
      <c r="E325" s="445" t="s">
        <v>647</v>
      </c>
      <c r="F325" s="419">
        <v>1</v>
      </c>
      <c r="G325" s="445" t="s">
        <v>3847</v>
      </c>
      <c r="H325" s="448" t="s">
        <v>968</v>
      </c>
      <c r="I325" s="455" t="s">
        <v>911</v>
      </c>
      <c r="J325" s="513" t="s">
        <v>1577</v>
      </c>
      <c r="K325" s="533" t="s">
        <v>2001</v>
      </c>
      <c r="L325" s="425">
        <v>368.59800000000001</v>
      </c>
      <c r="M325" s="423">
        <v>0</v>
      </c>
      <c r="N325" s="444">
        <v>39448</v>
      </c>
      <c r="O325" s="425">
        <f>5*L325</f>
        <v>1842.99</v>
      </c>
      <c r="P325" s="513" t="s">
        <v>728</v>
      </c>
      <c r="Q325" s="422">
        <f>469.338+62.69+203.815+166.435+254.776</f>
        <v>1157.0540000000001</v>
      </c>
      <c r="R325" s="425"/>
      <c r="S325" s="425"/>
      <c r="T325" s="733">
        <v>40787</v>
      </c>
      <c r="U325" s="444">
        <v>41182</v>
      </c>
      <c r="V325" s="425">
        <v>1751.0929643835616</v>
      </c>
      <c r="W325" s="400">
        <f t="shared" si="18"/>
        <v>0.66076103526994556</v>
      </c>
      <c r="X325" s="448" t="s">
        <v>728</v>
      </c>
      <c r="Y325" s="419" t="s">
        <v>3000</v>
      </c>
      <c r="Z325" s="445" t="s">
        <v>2998</v>
      </c>
      <c r="AA325" s="733">
        <v>40527</v>
      </c>
      <c r="AB325" s="444">
        <v>40994</v>
      </c>
      <c r="AC325" s="444">
        <v>40980</v>
      </c>
      <c r="AD325" s="444">
        <v>40582</v>
      </c>
      <c r="AE325" s="444"/>
      <c r="AF325" s="444"/>
      <c r="AG325" s="419"/>
      <c r="AH325" s="419">
        <v>0</v>
      </c>
      <c r="AI325" s="419"/>
      <c r="AJ325" s="419"/>
      <c r="AK325" s="419"/>
      <c r="AL325" s="428"/>
      <c r="AM325" s="419"/>
      <c r="AN325" s="419"/>
      <c r="AO325" s="445"/>
      <c r="AP325" s="489"/>
      <c r="AQ325" s="466"/>
    </row>
    <row r="326" spans="1:48" s="464" customFormat="1" ht="27" customHeight="1">
      <c r="A326" s="491" t="s">
        <v>3048</v>
      </c>
      <c r="B326" s="467" t="s">
        <v>3110</v>
      </c>
      <c r="C326" s="445" t="s">
        <v>3045</v>
      </c>
      <c r="D326" s="449" t="s">
        <v>1176</v>
      </c>
      <c r="E326" s="445"/>
      <c r="F326" s="419">
        <v>1</v>
      </c>
      <c r="G326" s="419"/>
      <c r="H326" s="448" t="s">
        <v>968</v>
      </c>
      <c r="I326" s="544" t="s">
        <v>911</v>
      </c>
      <c r="J326" s="552" t="s">
        <v>612</v>
      </c>
      <c r="K326" s="533" t="s">
        <v>2001</v>
      </c>
      <c r="L326" s="425">
        <v>258.98899999999998</v>
      </c>
      <c r="M326" s="423">
        <v>0</v>
      </c>
      <c r="N326" s="444">
        <v>39448</v>
      </c>
      <c r="O326" s="424">
        <f>5*L326</f>
        <v>1294.9449999999999</v>
      </c>
      <c r="P326" s="513" t="s">
        <v>728</v>
      </c>
      <c r="Q326" s="422">
        <f>227.546+198.287+174.972</f>
        <v>600.80499999999995</v>
      </c>
      <c r="R326" s="425"/>
      <c r="S326" s="425"/>
      <c r="T326" s="733">
        <v>40948</v>
      </c>
      <c r="U326" s="444">
        <v>40543</v>
      </c>
      <c r="V326" s="425">
        <v>776.96699999999987</v>
      </c>
      <c r="W326" s="400">
        <f t="shared" si="18"/>
        <v>0.77326964980494672</v>
      </c>
      <c r="X326" s="448" t="s">
        <v>896</v>
      </c>
      <c r="Y326" s="419" t="s">
        <v>3046</v>
      </c>
      <c r="Z326" s="445" t="s">
        <v>2304</v>
      </c>
      <c r="AA326" s="733">
        <v>41019</v>
      </c>
      <c r="AB326" s="444"/>
      <c r="AC326" s="881">
        <v>40980</v>
      </c>
      <c r="AD326" s="444">
        <v>40690</v>
      </c>
      <c r="AE326" s="444"/>
      <c r="AF326" s="444"/>
      <c r="AG326" s="419"/>
      <c r="AH326" s="419">
        <v>0</v>
      </c>
      <c r="AI326" s="419"/>
      <c r="AJ326" s="419">
        <v>4.5999999999999996</v>
      </c>
      <c r="AK326" s="423">
        <f>AJ326*1000/L326</f>
        <v>17.76137210460676</v>
      </c>
      <c r="AL326" s="428"/>
      <c r="AM326" s="419"/>
      <c r="AN326" s="419"/>
      <c r="AO326" s="445"/>
      <c r="AP326" s="489"/>
      <c r="AQ326" s="466"/>
      <c r="AR326" s="474"/>
      <c r="AS326" s="474"/>
      <c r="AT326" s="474"/>
      <c r="AU326" s="474"/>
      <c r="AV326" s="474"/>
    </row>
    <row r="327" spans="1:48" s="464" customFormat="1" ht="25.5" customHeight="1">
      <c r="A327" s="491" t="s">
        <v>3055</v>
      </c>
      <c r="B327" s="467" t="s">
        <v>3111</v>
      </c>
      <c r="C327" s="445" t="s">
        <v>3061</v>
      </c>
      <c r="D327" s="449" t="s">
        <v>1176</v>
      </c>
      <c r="E327" s="445" t="s">
        <v>175</v>
      </c>
      <c r="F327" s="419">
        <v>1</v>
      </c>
      <c r="G327" s="419"/>
      <c r="H327" s="448" t="s">
        <v>968</v>
      </c>
      <c r="I327" s="471" t="s">
        <v>1735</v>
      </c>
      <c r="J327" s="420" t="s">
        <v>1105</v>
      </c>
      <c r="K327" s="421" t="s">
        <v>2001</v>
      </c>
      <c r="L327" s="425">
        <v>332.54199999999997</v>
      </c>
      <c r="M327" s="423">
        <v>0</v>
      </c>
      <c r="N327" s="444">
        <v>40330</v>
      </c>
      <c r="O327" s="425">
        <v>997.625</v>
      </c>
      <c r="P327" s="513" t="s">
        <v>728</v>
      </c>
      <c r="Q327" s="422">
        <f>173.515+134.288</f>
        <v>307.803</v>
      </c>
      <c r="R327" s="425"/>
      <c r="S327" s="425"/>
      <c r="T327" s="733">
        <v>41106</v>
      </c>
      <c r="U327" s="733">
        <v>41182</v>
      </c>
      <c r="V327" s="425">
        <v>776.23502465753427</v>
      </c>
      <c r="W327" s="400">
        <f t="shared" si="18"/>
        <v>0.39653325374721277</v>
      </c>
      <c r="X327" s="448" t="s">
        <v>728</v>
      </c>
      <c r="Y327" s="493" t="s">
        <v>3019</v>
      </c>
      <c r="Z327" s="445" t="s">
        <v>596</v>
      </c>
      <c r="AA327" s="733">
        <v>40982</v>
      </c>
      <c r="AB327" s="444">
        <v>41074</v>
      </c>
      <c r="AC327" s="444">
        <v>40542</v>
      </c>
      <c r="AD327" s="444">
        <v>40437</v>
      </c>
      <c r="AE327" s="444"/>
      <c r="AF327" s="444"/>
      <c r="AG327" s="419"/>
      <c r="AH327" s="419">
        <v>190</v>
      </c>
      <c r="AI327" s="419"/>
      <c r="AJ327" s="419"/>
      <c r="AK327" s="419"/>
      <c r="AL327" s="428"/>
      <c r="AM327" s="419"/>
      <c r="AN327" s="419"/>
      <c r="AO327" s="532" t="s">
        <v>3070</v>
      </c>
      <c r="AP327" s="489"/>
      <c r="AQ327" s="466"/>
      <c r="AR327" s="474"/>
      <c r="AS327" s="474"/>
      <c r="AT327" s="474"/>
      <c r="AU327" s="474"/>
      <c r="AV327" s="474"/>
    </row>
    <row r="328" spans="1:48" s="464" customFormat="1" ht="27.75" customHeight="1">
      <c r="A328" s="491" t="s">
        <v>2226</v>
      </c>
      <c r="B328" s="467" t="s">
        <v>3115</v>
      </c>
      <c r="C328" s="445" t="s">
        <v>2232</v>
      </c>
      <c r="D328" s="449" t="s">
        <v>1176</v>
      </c>
      <c r="E328" s="445" t="s">
        <v>1117</v>
      </c>
      <c r="F328" s="419">
        <v>1</v>
      </c>
      <c r="G328" s="445" t="s">
        <v>3123</v>
      </c>
      <c r="H328" s="448" t="s">
        <v>968</v>
      </c>
      <c r="I328" s="455" t="s">
        <v>911</v>
      </c>
      <c r="J328" s="513" t="s">
        <v>1577</v>
      </c>
      <c r="K328" s="448" t="s">
        <v>2001</v>
      </c>
      <c r="L328" s="424">
        <f>O328/5</f>
        <v>436.76220000000001</v>
      </c>
      <c r="M328" s="423">
        <v>50</v>
      </c>
      <c r="N328" s="444">
        <v>39448</v>
      </c>
      <c r="O328" s="425">
        <v>2183.8110000000001</v>
      </c>
      <c r="P328" s="445" t="s">
        <v>1731</v>
      </c>
      <c r="Q328" s="422">
        <f>1385.903</f>
        <v>1385.903</v>
      </c>
      <c r="R328" s="425"/>
      <c r="S328" s="425"/>
      <c r="T328" s="733">
        <v>41065</v>
      </c>
      <c r="U328" s="865">
        <v>41182</v>
      </c>
      <c r="V328" s="425">
        <v>2045.3091687145804</v>
      </c>
      <c r="W328" s="400">
        <f t="shared" si="18"/>
        <v>0.67760073694433265</v>
      </c>
      <c r="X328" s="448" t="s">
        <v>728</v>
      </c>
      <c r="Y328" s="445" t="s">
        <v>1615</v>
      </c>
      <c r="Z328" s="419" t="s">
        <v>1616</v>
      </c>
      <c r="AA328" s="733">
        <v>40557</v>
      </c>
      <c r="AB328" s="444">
        <v>41065</v>
      </c>
      <c r="AC328" s="444">
        <v>40980</v>
      </c>
      <c r="AD328" s="444">
        <v>41001</v>
      </c>
      <c r="AE328" s="444"/>
      <c r="AF328" s="444"/>
      <c r="AG328" s="419"/>
      <c r="AH328" s="423">
        <v>0</v>
      </c>
      <c r="AI328" s="425"/>
      <c r="AJ328" s="423">
        <f>171/Exch!B11</f>
        <v>202.52188302241288</v>
      </c>
      <c r="AK328" s="423">
        <f>AJ328*1000/L328</f>
        <v>463.68912653707872</v>
      </c>
      <c r="AL328" s="428"/>
      <c r="AM328" s="419"/>
      <c r="AN328" s="419"/>
      <c r="AO328" s="419"/>
      <c r="AP328" s="468"/>
      <c r="AQ328" s="51"/>
      <c r="AR328" s="474"/>
      <c r="AS328" s="474"/>
      <c r="AT328" s="474"/>
      <c r="AU328" s="474"/>
      <c r="AV328" s="474"/>
    </row>
    <row r="329" spans="1:48" s="464" customFormat="1" ht="27.75" customHeight="1">
      <c r="A329" s="491" t="s">
        <v>2289</v>
      </c>
      <c r="B329" s="467" t="s">
        <v>3124</v>
      </c>
      <c r="C329" s="445" t="s">
        <v>3117</v>
      </c>
      <c r="D329" s="449" t="s">
        <v>1176</v>
      </c>
      <c r="E329" s="445" t="s">
        <v>2283</v>
      </c>
      <c r="F329" s="419">
        <v>1</v>
      </c>
      <c r="G329" s="445" t="s">
        <v>3116</v>
      </c>
      <c r="H329" s="448" t="s">
        <v>968</v>
      </c>
      <c r="I329" s="471" t="s">
        <v>256</v>
      </c>
      <c r="J329" s="419" t="s">
        <v>660</v>
      </c>
      <c r="K329" s="448" t="s">
        <v>2001</v>
      </c>
      <c r="L329" s="423">
        <v>169.61199999999999</v>
      </c>
      <c r="M329" s="423">
        <v>50</v>
      </c>
      <c r="N329" s="444">
        <v>39959</v>
      </c>
      <c r="O329" s="425">
        <v>607.76599999999996</v>
      </c>
      <c r="P329" s="445" t="s">
        <v>728</v>
      </c>
      <c r="Q329" s="422">
        <f>69.807+126.389+153.308</f>
        <v>349.50400000000002</v>
      </c>
      <c r="R329" s="425"/>
      <c r="S329" s="425"/>
      <c r="T329" s="733">
        <v>41073</v>
      </c>
      <c r="U329" s="444">
        <v>40908</v>
      </c>
      <c r="V329" s="425">
        <v>284.99119999999999</v>
      </c>
      <c r="W329" s="400">
        <f t="shared" si="18"/>
        <v>1.2263676913532771</v>
      </c>
      <c r="X329" s="448" t="s">
        <v>728</v>
      </c>
      <c r="Y329" s="445" t="s">
        <v>1615</v>
      </c>
      <c r="Z329" s="419" t="s">
        <v>1616</v>
      </c>
      <c r="AA329" s="733">
        <v>40604</v>
      </c>
      <c r="AB329" s="444">
        <v>41066</v>
      </c>
      <c r="AC329" s="444">
        <v>40980</v>
      </c>
      <c r="AD329" s="444">
        <v>40987</v>
      </c>
      <c r="AE329" s="444"/>
      <c r="AF329" s="444"/>
      <c r="AG329" s="419"/>
      <c r="AH329" s="423">
        <v>136</v>
      </c>
      <c r="AI329" s="425"/>
      <c r="AJ329" s="419"/>
      <c r="AK329" s="419"/>
      <c r="AL329" s="428"/>
      <c r="AM329" s="419"/>
      <c r="AN329" s="419"/>
      <c r="AO329" s="419"/>
      <c r="AP329" s="468"/>
      <c r="AQ329" s="782"/>
      <c r="AR329" s="474"/>
      <c r="AS329" s="474"/>
      <c r="AT329" s="474"/>
      <c r="AU329" s="474"/>
      <c r="AV329" s="474"/>
    </row>
    <row r="330" spans="1:48" s="464" customFormat="1" ht="27" customHeight="1">
      <c r="A330" s="491" t="s">
        <v>3080</v>
      </c>
      <c r="B330" s="467" t="s">
        <v>3112</v>
      </c>
      <c r="C330" s="445" t="s">
        <v>3091</v>
      </c>
      <c r="D330" s="449" t="s">
        <v>1176</v>
      </c>
      <c r="E330" s="445" t="s">
        <v>188</v>
      </c>
      <c r="F330" s="419">
        <v>1</v>
      </c>
      <c r="G330" s="419"/>
      <c r="H330" s="448" t="s">
        <v>968</v>
      </c>
      <c r="I330" s="471" t="s">
        <v>1548</v>
      </c>
      <c r="J330" s="726" t="s">
        <v>886</v>
      </c>
      <c r="K330" s="503" t="s">
        <v>2001</v>
      </c>
      <c r="L330" s="425">
        <v>227.51400000000001</v>
      </c>
      <c r="M330" s="423">
        <v>0</v>
      </c>
      <c r="N330" s="444">
        <v>40634</v>
      </c>
      <c r="O330" s="425">
        <v>379.18900000000002</v>
      </c>
      <c r="P330" s="1048" t="s">
        <v>728</v>
      </c>
      <c r="Q330" s="422">
        <f>52.888</f>
        <v>52.887999999999998</v>
      </c>
      <c r="R330" s="425"/>
      <c r="S330" s="425"/>
      <c r="T330" s="733">
        <v>41022</v>
      </c>
      <c r="U330" s="444">
        <v>40908</v>
      </c>
      <c r="V330" s="425">
        <v>170.79133150684933</v>
      </c>
      <c r="W330" s="400">
        <f t="shared" si="18"/>
        <v>0.30966442812631273</v>
      </c>
      <c r="X330" s="448" t="s">
        <v>728</v>
      </c>
      <c r="Y330" s="419" t="s">
        <v>1084</v>
      </c>
      <c r="Z330" s="445" t="s">
        <v>908</v>
      </c>
      <c r="AA330" s="733">
        <v>41032</v>
      </c>
      <c r="AB330" s="444"/>
      <c r="AC330" s="444">
        <v>40980</v>
      </c>
      <c r="AD330" s="865">
        <v>40670</v>
      </c>
      <c r="AE330" s="444"/>
      <c r="AF330" s="444"/>
      <c r="AG330" s="419"/>
      <c r="AH330" s="419"/>
      <c r="AI330" s="419"/>
      <c r="AJ330" s="419"/>
      <c r="AK330" s="419"/>
      <c r="AL330" s="428"/>
      <c r="AM330" s="419"/>
      <c r="AN330" s="419"/>
      <c r="AO330" s="532"/>
      <c r="AP330" s="489"/>
      <c r="AQ330" s="466"/>
      <c r="AR330" s="820"/>
      <c r="AS330" s="820"/>
      <c r="AT330" s="820"/>
      <c r="AU330" s="820"/>
    </row>
    <row r="331" spans="1:48" s="464" customFormat="1" ht="12.75" customHeight="1">
      <c r="A331" s="459" t="s">
        <v>1033</v>
      </c>
      <c r="B331" s="467" t="s">
        <v>3126</v>
      </c>
      <c r="C331" s="445" t="s">
        <v>3090</v>
      </c>
      <c r="D331" s="449" t="s">
        <v>1176</v>
      </c>
      <c r="E331" s="445" t="s">
        <v>91</v>
      </c>
      <c r="F331" s="419">
        <v>1</v>
      </c>
      <c r="G331" s="445" t="s">
        <v>3850</v>
      </c>
      <c r="H331" s="448" t="s">
        <v>968</v>
      </c>
      <c r="I331" s="471" t="s">
        <v>1735</v>
      </c>
      <c r="J331" s="419" t="s">
        <v>1105</v>
      </c>
      <c r="K331" s="448" t="s">
        <v>2001</v>
      </c>
      <c r="L331" s="425">
        <v>328.834</v>
      </c>
      <c r="M331" s="423">
        <v>0</v>
      </c>
      <c r="N331" s="444">
        <v>40544</v>
      </c>
      <c r="O331" s="425">
        <v>986.50099999999998</v>
      </c>
      <c r="P331" s="513" t="s">
        <v>728</v>
      </c>
      <c r="Q331" s="422">
        <v>262.58300000000003</v>
      </c>
      <c r="R331" s="425"/>
      <c r="S331" s="425"/>
      <c r="T331" s="733">
        <v>41204</v>
      </c>
      <c r="U331" s="444">
        <v>40908</v>
      </c>
      <c r="V331" s="425">
        <v>327.93308493150687</v>
      </c>
      <c r="W331" s="400">
        <f t="shared" si="18"/>
        <v>0.80072128146156385</v>
      </c>
      <c r="X331" s="448" t="s">
        <v>728</v>
      </c>
      <c r="Y331" s="419" t="s">
        <v>3019</v>
      </c>
      <c r="Z331" s="445" t="s">
        <v>596</v>
      </c>
      <c r="AA331" s="550">
        <v>40106</v>
      </c>
      <c r="AB331" s="444">
        <v>41025</v>
      </c>
      <c r="AC331" s="444">
        <v>40980</v>
      </c>
      <c r="AD331" s="444">
        <v>40428</v>
      </c>
      <c r="AE331" s="444"/>
      <c r="AF331" s="444"/>
      <c r="AG331" s="419"/>
      <c r="AH331" s="419">
        <f>671.2-330</f>
        <v>341.20000000000005</v>
      </c>
      <c r="AI331" s="419"/>
      <c r="AJ331" s="379"/>
      <c r="AK331" s="419"/>
      <c r="AL331" s="428"/>
      <c r="AM331" s="419"/>
      <c r="AN331" s="419"/>
      <c r="AO331" s="532"/>
      <c r="AP331" s="489"/>
      <c r="AQ331" s="466"/>
      <c r="AR331" s="474"/>
      <c r="AS331" s="474"/>
      <c r="AT331" s="474"/>
      <c r="AU331" s="474"/>
      <c r="AV331" s="474"/>
    </row>
    <row r="332" spans="1:48" s="464" customFormat="1" ht="12.75" customHeight="1">
      <c r="A332" s="459" t="s">
        <v>1034</v>
      </c>
      <c r="B332" s="451" t="s">
        <v>3127</v>
      </c>
      <c r="C332" s="419" t="s">
        <v>1036</v>
      </c>
      <c r="D332" s="420" t="s">
        <v>1176</v>
      </c>
      <c r="E332" s="419" t="s">
        <v>91</v>
      </c>
      <c r="F332" s="419">
        <v>1</v>
      </c>
      <c r="G332" s="445" t="s">
        <v>3056</v>
      </c>
      <c r="H332" s="448" t="s">
        <v>968</v>
      </c>
      <c r="I332" s="471" t="s">
        <v>256</v>
      </c>
      <c r="J332" s="419" t="s">
        <v>660</v>
      </c>
      <c r="K332" s="533" t="s">
        <v>2001</v>
      </c>
      <c r="L332" s="425">
        <f>801.72</f>
        <v>801.72</v>
      </c>
      <c r="M332" s="423">
        <v>0</v>
      </c>
      <c r="N332" s="444">
        <v>40634</v>
      </c>
      <c r="O332" s="425">
        <f>L332*2</f>
        <v>1603.44</v>
      </c>
      <c r="P332" s="419" t="s">
        <v>728</v>
      </c>
      <c r="Q332" s="422">
        <f>350.798</f>
        <v>350.798</v>
      </c>
      <c r="R332" s="425"/>
      <c r="S332" s="425"/>
      <c r="T332" s="733">
        <v>41204</v>
      </c>
      <c r="U332" s="444">
        <v>40908</v>
      </c>
      <c r="V332" s="425">
        <v>601.83912328767133</v>
      </c>
      <c r="W332" s="400">
        <f t="shared" si="18"/>
        <v>0.58287669648940899</v>
      </c>
      <c r="X332" s="448" t="s">
        <v>728</v>
      </c>
      <c r="Y332" s="445" t="s">
        <v>3019</v>
      </c>
      <c r="Z332" s="419" t="s">
        <v>1035</v>
      </c>
      <c r="AA332" s="550">
        <v>40106</v>
      </c>
      <c r="AB332" s="496">
        <v>41025</v>
      </c>
      <c r="AC332" s="444">
        <v>40980</v>
      </c>
      <c r="AD332" s="444">
        <v>40421</v>
      </c>
      <c r="AE332" s="444"/>
      <c r="AF332" s="444"/>
      <c r="AG332" s="423"/>
      <c r="AH332" s="423">
        <v>450</v>
      </c>
      <c r="AI332" s="425">
        <f>3266800/AH332</f>
        <v>7259.5555555555557</v>
      </c>
      <c r="AJ332" s="379"/>
      <c r="AK332" s="423"/>
      <c r="AL332" s="497"/>
      <c r="AM332" s="423"/>
      <c r="AN332" s="423"/>
      <c r="AO332" s="419"/>
      <c r="AP332" s="489"/>
      <c r="AQ332" s="51"/>
      <c r="AR332" s="820"/>
      <c r="AS332" s="820"/>
      <c r="AT332" s="820"/>
      <c r="AU332" s="820"/>
    </row>
    <row r="333" spans="1:48" s="464" customFormat="1" ht="12.75" customHeight="1">
      <c r="A333" s="467" t="s">
        <v>2481</v>
      </c>
      <c r="B333" s="467" t="s">
        <v>3163</v>
      </c>
      <c r="C333" s="445" t="s">
        <v>2482</v>
      </c>
      <c r="D333" s="449" t="s">
        <v>1176</v>
      </c>
      <c r="E333" s="445" t="s">
        <v>100</v>
      </c>
      <c r="F333" s="419">
        <v>1</v>
      </c>
      <c r="G333" s="445" t="s">
        <v>3118</v>
      </c>
      <c r="H333" s="448" t="s">
        <v>968</v>
      </c>
      <c r="I333" s="455" t="s">
        <v>911</v>
      </c>
      <c r="J333" s="513" t="s">
        <v>1577</v>
      </c>
      <c r="K333" s="448" t="s">
        <v>2001</v>
      </c>
      <c r="L333" s="423">
        <v>1538.6880000000001</v>
      </c>
      <c r="M333" s="423">
        <v>0</v>
      </c>
      <c r="N333" s="444">
        <v>39448</v>
      </c>
      <c r="O333" s="425">
        <f>L333*5</f>
        <v>7693.4400000000005</v>
      </c>
      <c r="P333" s="445" t="s">
        <v>728</v>
      </c>
      <c r="Q333" s="422">
        <v>5498.4470000000001</v>
      </c>
      <c r="R333" s="425"/>
      <c r="S333" s="425"/>
      <c r="T333" s="733">
        <v>40998</v>
      </c>
      <c r="U333" s="444">
        <v>40908</v>
      </c>
      <c r="V333" s="425">
        <v>6154.7520000000004</v>
      </c>
      <c r="W333" s="400">
        <f t="shared" si="18"/>
        <v>0.89336613400507436</v>
      </c>
      <c r="X333" s="448" t="s">
        <v>728</v>
      </c>
      <c r="Y333" s="445" t="s">
        <v>1084</v>
      </c>
      <c r="Z333" s="419" t="s">
        <v>1616</v>
      </c>
      <c r="AA333" s="733">
        <v>40691</v>
      </c>
      <c r="AB333" s="444">
        <v>41066</v>
      </c>
      <c r="AC333" s="444">
        <v>40980</v>
      </c>
      <c r="AD333" s="444">
        <v>40987</v>
      </c>
      <c r="AE333" s="444"/>
      <c r="AF333" s="444"/>
      <c r="AG333" s="419"/>
      <c r="AH333" s="423">
        <v>0</v>
      </c>
      <c r="AI333" s="425"/>
      <c r="AJ333" s="423">
        <f>(30.8+51)/Exch!B11</f>
        <v>96.8788890715402</v>
      </c>
      <c r="AK333" s="423">
        <f>AJ333*1000/L333</f>
        <v>62.962009888645511</v>
      </c>
      <c r="AL333" s="428"/>
      <c r="AM333" s="419"/>
      <c r="AN333" s="419"/>
      <c r="AO333" s="445" t="s">
        <v>2483</v>
      </c>
      <c r="AP333" s="468"/>
      <c r="AQ333" s="466"/>
      <c r="AR333" s="474"/>
      <c r="AS333" s="474"/>
      <c r="AT333" s="474"/>
      <c r="AU333" s="474"/>
      <c r="AV333" s="820"/>
    </row>
    <row r="334" spans="1:48" s="464" customFormat="1" ht="12.75" customHeight="1">
      <c r="A334" s="465" t="s">
        <v>1902</v>
      </c>
      <c r="B334" s="466" t="s">
        <v>3165</v>
      </c>
      <c r="C334" s="462" t="s">
        <v>1904</v>
      </c>
      <c r="D334" s="449" t="s">
        <v>1176</v>
      </c>
      <c r="E334" s="445" t="s">
        <v>1939</v>
      </c>
      <c r="F334" s="419">
        <v>1</v>
      </c>
      <c r="G334" s="445" t="s">
        <v>3164</v>
      </c>
      <c r="H334" s="448" t="s">
        <v>968</v>
      </c>
      <c r="I334" s="455" t="s">
        <v>1736</v>
      </c>
      <c r="J334" s="445" t="s">
        <v>1577</v>
      </c>
      <c r="K334" s="533" t="s">
        <v>2001</v>
      </c>
      <c r="L334" s="985">
        <v>667.92600000000004</v>
      </c>
      <c r="M334" s="423">
        <v>200</v>
      </c>
      <c r="N334" s="444">
        <v>39448</v>
      </c>
      <c r="O334" s="985">
        <f>L334*5</f>
        <v>3339.63</v>
      </c>
      <c r="P334" s="445" t="s">
        <v>728</v>
      </c>
      <c r="Q334" s="422"/>
      <c r="R334" s="425"/>
      <c r="S334" s="425"/>
      <c r="T334" s="733"/>
      <c r="U334" s="444"/>
      <c r="V334" s="425"/>
      <c r="W334" s="419"/>
      <c r="X334" s="455"/>
      <c r="Y334" s="445" t="s">
        <v>1615</v>
      </c>
      <c r="Z334" s="445" t="s">
        <v>1616</v>
      </c>
      <c r="AA334" s="733">
        <v>40339</v>
      </c>
      <c r="AB334" s="444">
        <v>41044</v>
      </c>
      <c r="AC334" s="444">
        <v>40980</v>
      </c>
      <c r="AD334" s="444">
        <v>40987</v>
      </c>
      <c r="AE334" s="444"/>
      <c r="AF334" s="444"/>
      <c r="AG334" s="419"/>
      <c r="AH334" s="423">
        <v>0</v>
      </c>
      <c r="AI334" s="425"/>
      <c r="AJ334" s="423">
        <f>354/Exch!B11</f>
        <v>419.25582801131088</v>
      </c>
      <c r="AK334" s="423">
        <f>AJ334*1000/L334</f>
        <v>627.69802045632434</v>
      </c>
      <c r="AL334" s="424"/>
      <c r="AM334" s="419"/>
      <c r="AN334" s="419"/>
      <c r="AO334" s="419"/>
      <c r="AP334" s="468"/>
      <c r="AQ334" s="466"/>
      <c r="AR334" s="474"/>
      <c r="AS334" s="474"/>
      <c r="AT334" s="474"/>
      <c r="AU334" s="474"/>
      <c r="AV334" s="474"/>
    </row>
    <row r="335" spans="1:48" s="464" customFormat="1" ht="12.75" customHeight="1">
      <c r="A335" s="491" t="s">
        <v>3217</v>
      </c>
      <c r="B335" s="467" t="s">
        <v>3171</v>
      </c>
      <c r="C335" s="462" t="s">
        <v>3172</v>
      </c>
      <c r="D335" s="449" t="s">
        <v>1176</v>
      </c>
      <c r="E335" s="445" t="s">
        <v>184</v>
      </c>
      <c r="F335" s="419">
        <v>1</v>
      </c>
      <c r="G335" s="419"/>
      <c r="H335" s="448" t="s">
        <v>968</v>
      </c>
      <c r="I335" s="724" t="s">
        <v>2318</v>
      </c>
      <c r="J335" s="507" t="s">
        <v>753</v>
      </c>
      <c r="K335" s="421" t="s">
        <v>2001</v>
      </c>
      <c r="L335" s="423">
        <v>1204.5060000000001</v>
      </c>
      <c r="M335" s="423">
        <v>200</v>
      </c>
      <c r="N335" s="444">
        <v>39448</v>
      </c>
      <c r="O335" s="425">
        <v>6022.5280000000002</v>
      </c>
      <c r="P335" s="445" t="s">
        <v>1314</v>
      </c>
      <c r="Q335" s="422">
        <f>4928.949+1093.579</f>
        <v>6022.5279999999993</v>
      </c>
      <c r="R335" s="425"/>
      <c r="S335" s="425"/>
      <c r="T335" s="733">
        <v>41092</v>
      </c>
      <c r="U335" s="444">
        <v>41274</v>
      </c>
      <c r="V335" s="425">
        <v>6027.2006300619259</v>
      </c>
      <c r="W335" s="400">
        <f t="shared" ref="W335:W350" si="19">Q335/V335</f>
        <v>0.9992247429032608</v>
      </c>
      <c r="X335" s="448" t="s">
        <v>1314</v>
      </c>
      <c r="Y335" s="391" t="s">
        <v>2180</v>
      </c>
      <c r="Z335" s="445" t="s">
        <v>908</v>
      </c>
      <c r="AA335" s="733">
        <v>41091</v>
      </c>
      <c r="AB335" s="444"/>
      <c r="AC335" s="444">
        <v>41045</v>
      </c>
      <c r="AD335" s="444">
        <v>41011</v>
      </c>
      <c r="AE335" s="444"/>
      <c r="AF335" s="444"/>
      <c r="AG335" s="419"/>
      <c r="AH335" s="419">
        <v>0</v>
      </c>
      <c r="AI335" s="425"/>
      <c r="AJ335" s="419"/>
      <c r="AK335" s="419"/>
      <c r="AL335" s="428"/>
      <c r="AM335" s="419"/>
      <c r="AN335" s="419"/>
      <c r="AO335" s="532"/>
      <c r="AP335" s="489"/>
      <c r="AQ335" s="466"/>
      <c r="AR335" s="474"/>
      <c r="AS335" s="474"/>
      <c r="AT335" s="474"/>
      <c r="AU335" s="474"/>
      <c r="AV335" s="474"/>
    </row>
    <row r="336" spans="1:48" s="464" customFormat="1" ht="12.75" customHeight="1">
      <c r="A336" s="491" t="s">
        <v>3218</v>
      </c>
      <c r="B336" s="467" t="s">
        <v>3174</v>
      </c>
      <c r="C336" s="462" t="s">
        <v>3173</v>
      </c>
      <c r="D336" s="449" t="s">
        <v>1176</v>
      </c>
      <c r="E336" s="445" t="s">
        <v>184</v>
      </c>
      <c r="F336" s="419">
        <v>1</v>
      </c>
      <c r="G336" s="419"/>
      <c r="H336" s="448" t="s">
        <v>968</v>
      </c>
      <c r="I336" s="724" t="s">
        <v>2318</v>
      </c>
      <c r="J336" s="507" t="s">
        <v>753</v>
      </c>
      <c r="K336" s="421" t="s">
        <v>2001</v>
      </c>
      <c r="L336" s="423">
        <f t="shared" ref="L336:L344" si="20">O336/5</f>
        <v>826.02379999999994</v>
      </c>
      <c r="M336" s="423">
        <v>0</v>
      </c>
      <c r="N336" s="444">
        <v>39448</v>
      </c>
      <c r="O336" s="425">
        <v>4130.1189999999997</v>
      </c>
      <c r="P336" s="462" t="s">
        <v>1314</v>
      </c>
      <c r="Q336" s="422">
        <f>3461.863+532.894</f>
        <v>3994.7569999999996</v>
      </c>
      <c r="R336" s="425"/>
      <c r="S336" s="425"/>
      <c r="T336" s="733">
        <v>41092</v>
      </c>
      <c r="U336" s="444">
        <v>41274</v>
      </c>
      <c r="V336" s="425">
        <v>4132.3820789041092</v>
      </c>
      <c r="W336" s="400">
        <f t="shared" si="19"/>
        <v>0.96669594527410996</v>
      </c>
      <c r="X336" s="448" t="s">
        <v>1314</v>
      </c>
      <c r="Y336" s="391" t="s">
        <v>2180</v>
      </c>
      <c r="Z336" s="445" t="s">
        <v>908</v>
      </c>
      <c r="AA336" s="733">
        <v>41091</v>
      </c>
      <c r="AB336" s="444"/>
      <c r="AC336" s="444">
        <v>41045</v>
      </c>
      <c r="AD336" s="444">
        <v>41016</v>
      </c>
      <c r="AE336" s="444"/>
      <c r="AF336" s="444"/>
      <c r="AG336" s="419"/>
      <c r="AH336" s="419">
        <v>0</v>
      </c>
      <c r="AI336" s="425"/>
      <c r="AJ336" s="419"/>
      <c r="AK336" s="419"/>
      <c r="AL336" s="428"/>
      <c r="AM336" s="419"/>
      <c r="AN336" s="419"/>
      <c r="AO336" s="532"/>
      <c r="AP336" s="489"/>
      <c r="AQ336" s="466"/>
      <c r="AR336" s="474"/>
      <c r="AS336" s="474"/>
      <c r="AT336" s="474"/>
      <c r="AU336" s="474"/>
      <c r="AV336" s="474"/>
    </row>
    <row r="337" spans="1:48" s="464" customFormat="1" ht="12.75" customHeight="1">
      <c r="A337" s="491" t="s">
        <v>3219</v>
      </c>
      <c r="B337" s="467" t="s">
        <v>3175</v>
      </c>
      <c r="C337" s="445" t="s">
        <v>3177</v>
      </c>
      <c r="D337" s="449" t="s">
        <v>1176</v>
      </c>
      <c r="E337" s="445" t="s">
        <v>175</v>
      </c>
      <c r="F337" s="419">
        <v>1</v>
      </c>
      <c r="G337" s="419"/>
      <c r="H337" s="448" t="s">
        <v>968</v>
      </c>
      <c r="I337" s="471" t="s">
        <v>1548</v>
      </c>
      <c r="J337" s="726" t="s">
        <v>886</v>
      </c>
      <c r="K337" s="421" t="s">
        <v>2001</v>
      </c>
      <c r="L337" s="423">
        <f t="shared" si="20"/>
        <v>12363.318600000001</v>
      </c>
      <c r="M337" s="423">
        <v>1400</v>
      </c>
      <c r="N337" s="444">
        <v>39448</v>
      </c>
      <c r="O337" s="425">
        <v>61816.593000000001</v>
      </c>
      <c r="P337" s="462" t="s">
        <v>1314</v>
      </c>
      <c r="Q337" s="422">
        <v>77378.722999999998</v>
      </c>
      <c r="R337" s="425"/>
      <c r="S337" s="425"/>
      <c r="T337" s="733">
        <v>41151</v>
      </c>
      <c r="U337" s="444">
        <v>41090</v>
      </c>
      <c r="V337" s="425">
        <v>54039.163344252207</v>
      </c>
      <c r="W337" s="400">
        <f t="shared" si="19"/>
        <v>1.4319008328656937</v>
      </c>
      <c r="X337" s="448" t="s">
        <v>1314</v>
      </c>
      <c r="Y337" s="445" t="s">
        <v>1084</v>
      </c>
      <c r="Z337" s="445" t="s">
        <v>3178</v>
      </c>
      <c r="AA337" s="733">
        <v>41091</v>
      </c>
      <c r="AB337" s="444"/>
      <c r="AC337" s="444">
        <v>41045</v>
      </c>
      <c r="AD337" s="444">
        <v>41039</v>
      </c>
      <c r="AE337" s="444"/>
      <c r="AF337" s="444"/>
      <c r="AG337" s="419"/>
      <c r="AH337" s="419">
        <v>0</v>
      </c>
      <c r="AI337" s="425"/>
      <c r="AJ337" s="419"/>
      <c r="AK337" s="419"/>
      <c r="AL337" s="428"/>
      <c r="AM337" s="419"/>
      <c r="AN337" s="419"/>
      <c r="AO337" s="532"/>
      <c r="AP337" s="489"/>
      <c r="AQ337" s="466"/>
      <c r="AR337" s="474"/>
      <c r="AS337" s="474"/>
      <c r="AT337" s="474"/>
      <c r="AU337" s="474"/>
      <c r="AV337" s="474"/>
    </row>
    <row r="338" spans="1:48" s="464" customFormat="1" ht="12.75" customHeight="1">
      <c r="A338" s="491" t="s">
        <v>3220</v>
      </c>
      <c r="B338" s="467" t="s">
        <v>3176</v>
      </c>
      <c r="C338" s="445" t="s">
        <v>3179</v>
      </c>
      <c r="D338" s="449" t="s">
        <v>1176</v>
      </c>
      <c r="E338" s="445" t="s">
        <v>175</v>
      </c>
      <c r="F338" s="419">
        <v>1</v>
      </c>
      <c r="G338" s="419"/>
      <c r="H338" s="448" t="s">
        <v>968</v>
      </c>
      <c r="I338" s="471" t="s">
        <v>1548</v>
      </c>
      <c r="J338" s="726" t="s">
        <v>886</v>
      </c>
      <c r="K338" s="421" t="s">
        <v>2001</v>
      </c>
      <c r="L338" s="423">
        <f t="shared" si="20"/>
        <v>621.00020000000006</v>
      </c>
      <c r="M338" s="423">
        <v>0</v>
      </c>
      <c r="N338" s="444">
        <v>39448</v>
      </c>
      <c r="O338" s="425">
        <v>3105.0010000000002</v>
      </c>
      <c r="P338" s="1048" t="s">
        <v>728</v>
      </c>
      <c r="Q338" s="422">
        <f>2419.011</f>
        <v>2419.011</v>
      </c>
      <c r="R338" s="425"/>
      <c r="S338" s="425"/>
      <c r="T338" s="733">
        <v>41106</v>
      </c>
      <c r="U338" s="444">
        <v>40908</v>
      </c>
      <c r="V338" s="425">
        <v>2484.0008000000003</v>
      </c>
      <c r="W338" s="400">
        <f t="shared" si="19"/>
        <v>0.97383664288674932</v>
      </c>
      <c r="X338" s="448" t="s">
        <v>728</v>
      </c>
      <c r="Y338" s="391" t="s">
        <v>2180</v>
      </c>
      <c r="Z338" s="445" t="s">
        <v>908</v>
      </c>
      <c r="AA338" s="733">
        <v>41091</v>
      </c>
      <c r="AB338" s="444"/>
      <c r="AC338" s="444">
        <v>41045</v>
      </c>
      <c r="AD338" s="444">
        <v>41004</v>
      </c>
      <c r="AE338" s="444"/>
      <c r="AF338" s="444"/>
      <c r="AG338" s="419"/>
      <c r="AH338" s="419">
        <v>0</v>
      </c>
      <c r="AI338" s="425"/>
      <c r="AJ338" s="419"/>
      <c r="AK338" s="419"/>
      <c r="AL338" s="428"/>
      <c r="AM338" s="419"/>
      <c r="AN338" s="419"/>
      <c r="AO338" s="532"/>
      <c r="AP338" s="489"/>
      <c r="AQ338" s="466"/>
      <c r="AR338" s="474"/>
      <c r="AS338" s="474"/>
      <c r="AT338" s="474"/>
      <c r="AU338" s="474"/>
      <c r="AV338" s="474"/>
    </row>
    <row r="339" spans="1:48" s="464" customFormat="1" ht="12.75" customHeight="1">
      <c r="A339" s="491" t="s">
        <v>3221</v>
      </c>
      <c r="B339" s="467" t="s">
        <v>3180</v>
      </c>
      <c r="C339" s="445" t="s">
        <v>3181</v>
      </c>
      <c r="D339" s="449" t="s">
        <v>1176</v>
      </c>
      <c r="E339" s="445" t="s">
        <v>3182</v>
      </c>
      <c r="F339" s="419">
        <v>1</v>
      </c>
      <c r="G339" s="419"/>
      <c r="H339" s="448" t="s">
        <v>968</v>
      </c>
      <c r="I339" s="724" t="s">
        <v>2318</v>
      </c>
      <c r="J339" s="507" t="s">
        <v>753</v>
      </c>
      <c r="K339" s="421" t="s">
        <v>2001</v>
      </c>
      <c r="L339" s="423">
        <f t="shared" si="20"/>
        <v>793.96019999999999</v>
      </c>
      <c r="M339" s="423">
        <v>0</v>
      </c>
      <c r="N339" s="444">
        <v>39448</v>
      </c>
      <c r="O339" s="425">
        <v>3969.8009999999999</v>
      </c>
      <c r="P339" s="462" t="s">
        <v>1314</v>
      </c>
      <c r="Q339" s="422">
        <f>3351.824+617.18</f>
        <v>3969.0039999999999</v>
      </c>
      <c r="R339" s="425"/>
      <c r="S339" s="425"/>
      <c r="T339" s="733">
        <v>41092</v>
      </c>
      <c r="U339" s="444">
        <v>41274</v>
      </c>
      <c r="V339" s="425">
        <v>3971.9762334246575</v>
      </c>
      <c r="W339" s="400">
        <f t="shared" si="19"/>
        <v>0.99925169909133749</v>
      </c>
      <c r="X339" s="448" t="s">
        <v>1314</v>
      </c>
      <c r="Y339" s="391" t="s">
        <v>2180</v>
      </c>
      <c r="Z339" s="445" t="s">
        <v>908</v>
      </c>
      <c r="AA339" s="733">
        <v>41091</v>
      </c>
      <c r="AB339" s="444"/>
      <c r="AC339" s="444">
        <v>41045</v>
      </c>
      <c r="AD339" s="444">
        <v>41015</v>
      </c>
      <c r="AE339" s="444"/>
      <c r="AF339" s="444"/>
      <c r="AG339" s="419"/>
      <c r="AH339" s="419">
        <v>0</v>
      </c>
      <c r="AI339" s="425"/>
      <c r="AJ339" s="419"/>
      <c r="AK339" s="419"/>
      <c r="AL339" s="428"/>
      <c r="AM339" s="419"/>
      <c r="AN339" s="419"/>
      <c r="AO339" s="532"/>
      <c r="AP339" s="489"/>
      <c r="AQ339" s="466"/>
      <c r="AR339" s="489"/>
      <c r="AS339" s="489"/>
      <c r="AT339" s="489"/>
      <c r="AU339" s="489"/>
      <c r="AV339" s="489"/>
    </row>
    <row r="340" spans="1:48" s="464" customFormat="1" ht="12.75" customHeight="1">
      <c r="A340" s="491" t="s">
        <v>2208</v>
      </c>
      <c r="B340" s="467" t="s">
        <v>3166</v>
      </c>
      <c r="C340" s="445" t="s">
        <v>2205</v>
      </c>
      <c r="D340" s="449" t="s">
        <v>1176</v>
      </c>
      <c r="E340" s="445" t="s">
        <v>100</v>
      </c>
      <c r="F340" s="419">
        <v>1</v>
      </c>
      <c r="G340" s="445" t="s">
        <v>3153</v>
      </c>
      <c r="H340" s="448" t="s">
        <v>968</v>
      </c>
      <c r="I340" s="455" t="s">
        <v>911</v>
      </c>
      <c r="J340" s="513" t="s">
        <v>1577</v>
      </c>
      <c r="K340" s="421" t="s">
        <v>2001</v>
      </c>
      <c r="L340" s="425">
        <f t="shared" si="20"/>
        <v>343.11660000000001</v>
      </c>
      <c r="M340" s="423">
        <v>0</v>
      </c>
      <c r="N340" s="444">
        <v>39448</v>
      </c>
      <c r="O340" s="425">
        <v>1715.5830000000001</v>
      </c>
      <c r="P340" s="1048" t="s">
        <v>728</v>
      </c>
      <c r="Q340" s="422">
        <v>1271.2739999999999</v>
      </c>
      <c r="R340" s="425"/>
      <c r="S340" s="425"/>
      <c r="T340" s="733">
        <v>41026</v>
      </c>
      <c r="U340" s="479">
        <v>40908</v>
      </c>
      <c r="V340" s="425">
        <v>1372.4664</v>
      </c>
      <c r="W340" s="400">
        <f t="shared" si="19"/>
        <v>0.92626967042690433</v>
      </c>
      <c r="X340" s="448" t="s">
        <v>1314</v>
      </c>
      <c r="Y340" s="445" t="s">
        <v>2180</v>
      </c>
      <c r="Z340" s="419" t="s">
        <v>1616</v>
      </c>
      <c r="AA340" s="733">
        <v>40527</v>
      </c>
      <c r="AB340" s="444">
        <v>41087</v>
      </c>
      <c r="AC340" s="444">
        <v>40980</v>
      </c>
      <c r="AD340" s="444">
        <v>40632</v>
      </c>
      <c r="AE340" s="444"/>
      <c r="AF340" s="444"/>
      <c r="AG340" s="419"/>
      <c r="AH340" s="423">
        <v>0</v>
      </c>
      <c r="AI340" s="419"/>
      <c r="AJ340" s="419"/>
      <c r="AK340" s="419"/>
      <c r="AL340" s="428"/>
      <c r="AM340" s="419"/>
      <c r="AN340" s="419"/>
      <c r="AO340" s="419"/>
      <c r="AP340" s="489"/>
      <c r="AQ340" s="782"/>
      <c r="AR340" s="474"/>
      <c r="AS340" s="474"/>
      <c r="AT340" s="474"/>
      <c r="AU340" s="474"/>
      <c r="AV340" s="474"/>
    </row>
    <row r="341" spans="1:48" s="464" customFormat="1" ht="12.75" customHeight="1">
      <c r="A341" s="491" t="s">
        <v>3222</v>
      </c>
      <c r="B341" s="467" t="s">
        <v>3183</v>
      </c>
      <c r="C341" s="445" t="s">
        <v>3184</v>
      </c>
      <c r="D341" s="449" t="s">
        <v>1176</v>
      </c>
      <c r="E341" s="445" t="s">
        <v>3064</v>
      </c>
      <c r="F341" s="419">
        <v>1</v>
      </c>
      <c r="G341" s="419"/>
      <c r="H341" s="448" t="s">
        <v>968</v>
      </c>
      <c r="I341" s="724" t="s">
        <v>2318</v>
      </c>
      <c r="J341" s="507" t="s">
        <v>753</v>
      </c>
      <c r="K341" s="448" t="s">
        <v>2001</v>
      </c>
      <c r="L341" s="423">
        <f t="shared" si="20"/>
        <v>204.81419999999997</v>
      </c>
      <c r="M341" s="423">
        <v>0</v>
      </c>
      <c r="N341" s="444">
        <v>39448</v>
      </c>
      <c r="O341" s="425">
        <v>1024.0709999999999</v>
      </c>
      <c r="P341" s="445" t="s">
        <v>1314</v>
      </c>
      <c r="Q341" s="422">
        <f>846.143+177.928</f>
        <v>1024.0709999999999</v>
      </c>
      <c r="R341" s="425"/>
      <c r="S341" s="425"/>
      <c r="T341" s="733">
        <v>41092</v>
      </c>
      <c r="U341" s="444">
        <v>40999</v>
      </c>
      <c r="V341" s="425">
        <v>870.32006630136982</v>
      </c>
      <c r="W341" s="400">
        <f t="shared" si="19"/>
        <v>1.1766602192134106</v>
      </c>
      <c r="X341" s="448" t="s">
        <v>1314</v>
      </c>
      <c r="Y341" s="445" t="s">
        <v>2180</v>
      </c>
      <c r="Z341" s="445" t="s">
        <v>908</v>
      </c>
      <c r="AA341" s="733">
        <v>41091</v>
      </c>
      <c r="AB341" s="444"/>
      <c r="AC341" s="444">
        <v>41045</v>
      </c>
      <c r="AD341" s="444">
        <v>41016</v>
      </c>
      <c r="AE341" s="444"/>
      <c r="AF341" s="444"/>
      <c r="AG341" s="419"/>
      <c r="AH341" s="419">
        <v>0</v>
      </c>
      <c r="AI341" s="425"/>
      <c r="AJ341" s="419"/>
      <c r="AK341" s="419"/>
      <c r="AL341" s="428"/>
      <c r="AM341" s="419"/>
      <c r="AN341" s="419"/>
      <c r="AO341" s="532"/>
      <c r="AP341" s="489"/>
      <c r="AQ341" s="466"/>
      <c r="AR341" s="474"/>
      <c r="AS341" s="474"/>
      <c r="AT341" s="474"/>
      <c r="AU341" s="474"/>
      <c r="AV341" s="474"/>
    </row>
    <row r="342" spans="1:48" s="464" customFormat="1" ht="12.75" customHeight="1">
      <c r="A342" s="491" t="s">
        <v>3156</v>
      </c>
      <c r="B342" s="467" t="s">
        <v>3168</v>
      </c>
      <c r="C342" s="445" t="s">
        <v>3143</v>
      </c>
      <c r="D342" s="449" t="s">
        <v>1176</v>
      </c>
      <c r="E342" s="445" t="s">
        <v>91</v>
      </c>
      <c r="F342" s="419">
        <v>1</v>
      </c>
      <c r="G342" s="419"/>
      <c r="H342" s="448" t="s">
        <v>968</v>
      </c>
      <c r="I342" s="724" t="s">
        <v>1082</v>
      </c>
      <c r="J342" s="507" t="s">
        <v>1357</v>
      </c>
      <c r="K342" s="448" t="s">
        <v>2001</v>
      </c>
      <c r="L342" s="423">
        <f t="shared" si="20"/>
        <v>326.19940000000003</v>
      </c>
      <c r="M342" s="423">
        <v>25</v>
      </c>
      <c r="N342" s="444">
        <v>39448</v>
      </c>
      <c r="O342" s="425">
        <v>1630.9970000000001</v>
      </c>
      <c r="P342" s="513" t="s">
        <v>728</v>
      </c>
      <c r="Q342" s="422">
        <f>1231.107</f>
        <v>1231.107</v>
      </c>
      <c r="R342" s="425"/>
      <c r="S342" s="425"/>
      <c r="T342" s="733">
        <v>41057</v>
      </c>
      <c r="U342" s="479">
        <v>40908</v>
      </c>
      <c r="V342" s="425">
        <v>1254.7976000000001</v>
      </c>
      <c r="W342" s="400">
        <f t="shared" si="19"/>
        <v>0.98111998301558745</v>
      </c>
      <c r="X342" s="448" t="s">
        <v>728</v>
      </c>
      <c r="Y342" s="445" t="s">
        <v>3904</v>
      </c>
      <c r="Z342" s="445" t="s">
        <v>2304</v>
      </c>
      <c r="AA342" s="733">
        <v>41074</v>
      </c>
      <c r="AB342" s="444"/>
      <c r="AC342" s="444">
        <v>41011</v>
      </c>
      <c r="AD342" s="444">
        <v>40779</v>
      </c>
      <c r="AE342" s="444"/>
      <c r="AF342" s="444"/>
      <c r="AG342" s="419"/>
      <c r="AH342" s="419">
        <v>0</v>
      </c>
      <c r="AI342" s="425"/>
      <c r="AJ342" s="419">
        <v>28</v>
      </c>
      <c r="AK342" s="423">
        <f>AJ342*1000/L342</f>
        <v>85.837067756715669</v>
      </c>
      <c r="AL342" s="428"/>
      <c r="AM342" s="419"/>
      <c r="AN342" s="419"/>
      <c r="AO342" s="532"/>
      <c r="AP342" s="489"/>
      <c r="AQ342" s="466"/>
      <c r="AR342" s="474"/>
      <c r="AS342" s="474"/>
      <c r="AT342" s="474"/>
      <c r="AU342" s="474"/>
      <c r="AV342" s="474"/>
    </row>
    <row r="343" spans="1:48" s="464" customFormat="1" ht="12.75" customHeight="1">
      <c r="A343" s="491" t="s">
        <v>3223</v>
      </c>
      <c r="B343" s="467" t="s">
        <v>3186</v>
      </c>
      <c r="C343" s="445" t="s">
        <v>3185</v>
      </c>
      <c r="D343" s="449" t="s">
        <v>1176</v>
      </c>
      <c r="E343" s="445" t="s">
        <v>357</v>
      </c>
      <c r="F343" s="419">
        <v>1</v>
      </c>
      <c r="G343" s="419"/>
      <c r="H343" s="448" t="s">
        <v>968</v>
      </c>
      <c r="I343" s="724" t="s">
        <v>1082</v>
      </c>
      <c r="J343" s="507" t="s">
        <v>1357</v>
      </c>
      <c r="K343" s="448" t="s">
        <v>2001</v>
      </c>
      <c r="L343" s="423">
        <f t="shared" si="20"/>
        <v>37.426400000000001</v>
      </c>
      <c r="M343" s="423">
        <v>4</v>
      </c>
      <c r="N343" s="444">
        <v>39448</v>
      </c>
      <c r="O343" s="425">
        <v>187.13200000000001</v>
      </c>
      <c r="P343" s="513" t="s">
        <v>728</v>
      </c>
      <c r="Q343" s="422">
        <f>31.469+28.379+33.117</f>
        <v>92.965000000000003</v>
      </c>
      <c r="R343" s="425"/>
      <c r="S343" s="425"/>
      <c r="T343" s="733">
        <v>40933</v>
      </c>
      <c r="U343" s="444">
        <v>40543</v>
      </c>
      <c r="V343" s="425">
        <v>100.2792</v>
      </c>
      <c r="W343" s="400">
        <f t="shared" si="19"/>
        <v>0.92706164389025836</v>
      </c>
      <c r="X343" s="448" t="s">
        <v>728</v>
      </c>
      <c r="Y343" s="445" t="s">
        <v>3046</v>
      </c>
      <c r="Z343" s="445" t="s">
        <v>2304</v>
      </c>
      <c r="AA343" s="733">
        <v>41091</v>
      </c>
      <c r="AB343" s="444"/>
      <c r="AC343" s="444">
        <v>40980</v>
      </c>
      <c r="AD343" s="444">
        <v>40734</v>
      </c>
      <c r="AE343" s="444"/>
      <c r="AF343" s="444"/>
      <c r="AG343" s="419"/>
      <c r="AH343" s="419">
        <v>0</v>
      </c>
      <c r="AI343" s="425"/>
      <c r="AJ343" s="419"/>
      <c r="AK343" s="419"/>
      <c r="AL343" s="428"/>
      <c r="AM343" s="419"/>
      <c r="AN343" s="419"/>
      <c r="AO343" s="532"/>
      <c r="AP343" s="489"/>
      <c r="AQ343" s="466"/>
      <c r="AR343" s="474"/>
      <c r="AS343" s="474"/>
      <c r="AT343" s="474"/>
      <c r="AU343" s="474"/>
      <c r="AV343" s="474"/>
    </row>
    <row r="344" spans="1:48" s="464" customFormat="1" ht="12.75" customHeight="1">
      <c r="A344" s="491" t="s">
        <v>2661</v>
      </c>
      <c r="B344" s="467" t="s">
        <v>3202</v>
      </c>
      <c r="C344" s="445" t="s">
        <v>3203</v>
      </c>
      <c r="D344" s="449" t="s">
        <v>1176</v>
      </c>
      <c r="E344" s="445" t="s">
        <v>2000</v>
      </c>
      <c r="F344" s="419">
        <v>1</v>
      </c>
      <c r="G344" s="445" t="s">
        <v>3838</v>
      </c>
      <c r="H344" s="448" t="s">
        <v>968</v>
      </c>
      <c r="I344" s="455" t="s">
        <v>911</v>
      </c>
      <c r="J344" s="513" t="s">
        <v>1577</v>
      </c>
      <c r="K344" s="533" t="s">
        <v>2001</v>
      </c>
      <c r="L344" s="423">
        <f t="shared" si="20"/>
        <v>229.40219999999999</v>
      </c>
      <c r="M344" s="423">
        <v>60</v>
      </c>
      <c r="N344" s="444">
        <v>39448</v>
      </c>
      <c r="O344" s="425">
        <v>1147.011</v>
      </c>
      <c r="P344" s="513" t="s">
        <v>728</v>
      </c>
      <c r="Q344" s="422">
        <v>674.32100000000003</v>
      </c>
      <c r="R344" s="425"/>
      <c r="S344" s="425"/>
      <c r="T344" s="733">
        <v>41098</v>
      </c>
      <c r="U344" s="479">
        <v>40908</v>
      </c>
      <c r="V344" s="425">
        <v>797.60879999999997</v>
      </c>
      <c r="W344" s="400">
        <f t="shared" si="19"/>
        <v>0.84542823499439834</v>
      </c>
      <c r="X344" s="448" t="s">
        <v>728</v>
      </c>
      <c r="Y344" s="445" t="s">
        <v>1615</v>
      </c>
      <c r="Z344" s="445" t="s">
        <v>1616</v>
      </c>
      <c r="AA344" s="733">
        <v>40810</v>
      </c>
      <c r="AB344" s="444">
        <v>41100</v>
      </c>
      <c r="AC344" s="444">
        <v>41045</v>
      </c>
      <c r="AD344" s="444">
        <v>40900</v>
      </c>
      <c r="AE344" s="444"/>
      <c r="AF344" s="444"/>
      <c r="AG344" s="419"/>
      <c r="AH344" s="419">
        <v>0</v>
      </c>
      <c r="AI344" s="425"/>
      <c r="AJ344" s="419"/>
      <c r="AK344" s="419"/>
      <c r="AL344" s="428"/>
      <c r="AM344" s="419"/>
      <c r="AN344" s="419"/>
      <c r="AO344" s="532"/>
      <c r="AP344" s="489"/>
      <c r="AQ344" s="466"/>
      <c r="AR344" s="474"/>
      <c r="AS344" s="474"/>
      <c r="AT344" s="474"/>
      <c r="AU344" s="474"/>
      <c r="AV344" s="474"/>
    </row>
    <row r="345" spans="1:48" s="464" customFormat="1" ht="12.75" customHeight="1">
      <c r="A345" s="491" t="s">
        <v>3231</v>
      </c>
      <c r="B345" s="467" t="s">
        <v>3204</v>
      </c>
      <c r="C345" s="445" t="s">
        <v>3205</v>
      </c>
      <c r="D345" s="449" t="s">
        <v>1176</v>
      </c>
      <c r="E345" s="445" t="s">
        <v>100</v>
      </c>
      <c r="F345" s="419">
        <v>1</v>
      </c>
      <c r="G345" s="419"/>
      <c r="H345" s="448" t="s">
        <v>968</v>
      </c>
      <c r="I345" s="455" t="s">
        <v>911</v>
      </c>
      <c r="J345" s="445" t="s">
        <v>973</v>
      </c>
      <c r="K345" s="533" t="s">
        <v>2001</v>
      </c>
      <c r="L345" s="423">
        <v>165.40199999999999</v>
      </c>
      <c r="M345" s="423">
        <v>0</v>
      </c>
      <c r="N345" s="444">
        <v>40500</v>
      </c>
      <c r="O345" s="425">
        <v>496.20499999999998</v>
      </c>
      <c r="P345" s="513" t="s">
        <v>728</v>
      </c>
      <c r="Q345" s="422">
        <f>75.844</f>
        <v>75.843999999999994</v>
      </c>
      <c r="R345" s="425"/>
      <c r="S345" s="425"/>
      <c r="T345" s="733">
        <v>41106</v>
      </c>
      <c r="U345" s="444">
        <v>41060</v>
      </c>
      <c r="V345" s="425">
        <v>253.76745205479449</v>
      </c>
      <c r="W345" s="400">
        <f t="shared" si="19"/>
        <v>0.2988720554424113</v>
      </c>
      <c r="X345" s="448" t="s">
        <v>728</v>
      </c>
      <c r="Y345" s="445" t="s">
        <v>1615</v>
      </c>
      <c r="Z345" s="445" t="s">
        <v>1616</v>
      </c>
      <c r="AA345" s="733">
        <v>41100</v>
      </c>
      <c r="AB345" s="444"/>
      <c r="AC345" s="444">
        <v>40980</v>
      </c>
      <c r="AD345" s="444">
        <v>40987</v>
      </c>
      <c r="AE345" s="444"/>
      <c r="AF345" s="444"/>
      <c r="AG345" s="419"/>
      <c r="AH345" s="419">
        <v>0</v>
      </c>
      <c r="AI345" s="425"/>
      <c r="AJ345" s="419"/>
      <c r="AK345" s="419"/>
      <c r="AL345" s="428"/>
      <c r="AM345" s="419"/>
      <c r="AN345" s="419"/>
      <c r="AO345" s="532"/>
      <c r="AP345" s="489"/>
      <c r="AQ345" s="466"/>
      <c r="AR345" s="474"/>
      <c r="AS345" s="474"/>
      <c r="AT345" s="474"/>
      <c r="AU345" s="474"/>
      <c r="AV345" s="474"/>
    </row>
    <row r="346" spans="1:48" s="464" customFormat="1" ht="12.75" customHeight="1">
      <c r="A346" s="459" t="s">
        <v>1324</v>
      </c>
      <c r="B346" s="51" t="s">
        <v>3246</v>
      </c>
      <c r="C346" s="419" t="s">
        <v>3194</v>
      </c>
      <c r="D346" s="420" t="s">
        <v>1176</v>
      </c>
      <c r="E346" s="445" t="s">
        <v>357</v>
      </c>
      <c r="F346" s="419">
        <v>1</v>
      </c>
      <c r="G346" s="445" t="s">
        <v>3170</v>
      </c>
      <c r="H346" s="448" t="s">
        <v>968</v>
      </c>
      <c r="I346" s="471" t="s">
        <v>1082</v>
      </c>
      <c r="J346" s="419" t="s">
        <v>1358</v>
      </c>
      <c r="K346" s="448" t="s">
        <v>1359</v>
      </c>
      <c r="L346" s="423">
        <f>O346/5</f>
        <v>204.29040000000001</v>
      </c>
      <c r="M346" s="423">
        <v>0</v>
      </c>
      <c r="N346" s="444">
        <v>39448</v>
      </c>
      <c r="O346" s="425">
        <v>1021.452</v>
      </c>
      <c r="P346" s="419" t="s">
        <v>1731</v>
      </c>
      <c r="Q346" s="422">
        <f>463.663+190.021</f>
        <v>653.68399999999997</v>
      </c>
      <c r="R346" s="425"/>
      <c r="S346" s="425"/>
      <c r="T346" s="733">
        <v>41031</v>
      </c>
      <c r="U346" s="479">
        <v>40908</v>
      </c>
      <c r="V346" s="425">
        <v>817.16160000000002</v>
      </c>
      <c r="W346" s="400">
        <f t="shared" si="19"/>
        <v>0.79994458868356022</v>
      </c>
      <c r="X346" s="455" t="s">
        <v>1731</v>
      </c>
      <c r="Y346" s="445" t="s">
        <v>3195</v>
      </c>
      <c r="Z346" s="445" t="s">
        <v>3196</v>
      </c>
      <c r="AA346" s="733">
        <v>39032</v>
      </c>
      <c r="AB346" s="444">
        <v>41088</v>
      </c>
      <c r="AC346" s="444">
        <v>40926</v>
      </c>
      <c r="AD346" s="444">
        <v>39132</v>
      </c>
      <c r="AE346" s="444"/>
      <c r="AF346" s="444"/>
      <c r="AG346" s="423"/>
      <c r="AH346" s="423">
        <v>112</v>
      </c>
      <c r="AI346" s="425"/>
      <c r="AJ346" s="423"/>
      <c r="AK346" s="423"/>
      <c r="AL346" s="497"/>
      <c r="AM346" s="423"/>
      <c r="AN346" s="423"/>
      <c r="AO346" s="419"/>
      <c r="AP346" s="489"/>
      <c r="AQ346" s="51"/>
      <c r="AR346" s="474"/>
      <c r="AS346" s="474"/>
      <c r="AT346" s="474"/>
      <c r="AU346" s="474"/>
      <c r="AV346" s="474"/>
    </row>
    <row r="347" spans="1:48" s="464" customFormat="1" ht="12.75" customHeight="1">
      <c r="A347" s="491" t="s">
        <v>3224</v>
      </c>
      <c r="B347" s="467" t="s">
        <v>3249</v>
      </c>
      <c r="C347" s="445" t="s">
        <v>3187</v>
      </c>
      <c r="D347" s="449" t="s">
        <v>1176</v>
      </c>
      <c r="E347" s="445" t="s">
        <v>2283</v>
      </c>
      <c r="F347" s="419">
        <v>1</v>
      </c>
      <c r="G347" s="419"/>
      <c r="H347" s="448" t="s">
        <v>968</v>
      </c>
      <c r="I347" s="533" t="s">
        <v>256</v>
      </c>
      <c r="J347" s="419" t="s">
        <v>3128</v>
      </c>
      <c r="K347" s="448" t="s">
        <v>2001</v>
      </c>
      <c r="L347" s="423">
        <f>O347/5</f>
        <v>1746.3178</v>
      </c>
      <c r="M347" s="423">
        <v>500</v>
      </c>
      <c r="N347" s="444">
        <v>39448</v>
      </c>
      <c r="O347" s="425">
        <v>8731.5889999999999</v>
      </c>
      <c r="P347" s="727" t="s">
        <v>1732</v>
      </c>
      <c r="Q347" s="422">
        <f>6538.508+1105.259+690.872</f>
        <v>8334.6389999999992</v>
      </c>
      <c r="R347" s="425"/>
      <c r="S347" s="425"/>
      <c r="T347" s="733">
        <v>41117</v>
      </c>
      <c r="U347" s="444">
        <v>40999</v>
      </c>
      <c r="V347" s="425">
        <v>6623.1803441321081</v>
      </c>
      <c r="W347" s="400">
        <f t="shared" si="19"/>
        <v>1.2584043566598908</v>
      </c>
      <c r="X347" s="533" t="s">
        <v>1732</v>
      </c>
      <c r="Y347" s="445" t="s">
        <v>1084</v>
      </c>
      <c r="Z347" s="445" t="s">
        <v>908</v>
      </c>
      <c r="AA347" s="733">
        <v>41091</v>
      </c>
      <c r="AB347" s="444"/>
      <c r="AC347" s="444">
        <v>41045</v>
      </c>
      <c r="AD347" s="444">
        <v>41025</v>
      </c>
      <c r="AE347" s="444"/>
      <c r="AF347" s="444"/>
      <c r="AG347" s="419"/>
      <c r="AH347" s="419">
        <v>447.5</v>
      </c>
      <c r="AI347" s="889">
        <f>3173900/AH347</f>
        <v>7092.5139664804474</v>
      </c>
      <c r="AJ347" s="419"/>
      <c r="AK347" s="419"/>
      <c r="AL347" s="428"/>
      <c r="AM347" s="419"/>
      <c r="AN347" s="419"/>
      <c r="AO347" s="532"/>
      <c r="AP347" s="489"/>
      <c r="AQ347" s="466"/>
      <c r="AR347" s="489"/>
      <c r="AS347" s="489"/>
      <c r="AT347" s="489"/>
      <c r="AU347" s="489"/>
      <c r="AV347" s="489"/>
    </row>
    <row r="348" spans="1:48" s="474" customFormat="1" ht="12.75" customHeight="1">
      <c r="A348" s="467" t="s">
        <v>3226</v>
      </c>
      <c r="B348" s="468" t="s">
        <v>3250</v>
      </c>
      <c r="C348" s="445" t="s">
        <v>3190</v>
      </c>
      <c r="D348" s="449" t="s">
        <v>1176</v>
      </c>
      <c r="E348" s="445" t="s">
        <v>647</v>
      </c>
      <c r="F348" s="420">
        <v>1</v>
      </c>
      <c r="G348" s="420"/>
      <c r="H348" s="421" t="s">
        <v>968</v>
      </c>
      <c r="I348" s="455" t="s">
        <v>911</v>
      </c>
      <c r="J348" s="725" t="s">
        <v>1577</v>
      </c>
      <c r="K348" s="490" t="s">
        <v>2001</v>
      </c>
      <c r="L348" s="423">
        <f>O348/5</f>
        <v>1177.0296000000001</v>
      </c>
      <c r="M348" s="423">
        <v>150</v>
      </c>
      <c r="N348" s="444">
        <v>39448</v>
      </c>
      <c r="O348" s="424">
        <v>5885.1480000000001</v>
      </c>
      <c r="P348" s="445" t="s">
        <v>1314</v>
      </c>
      <c r="Q348" s="422">
        <f>4266.712+1077.292</f>
        <v>5344.0040000000008</v>
      </c>
      <c r="R348" s="425"/>
      <c r="S348" s="425"/>
      <c r="T348" s="881">
        <v>41080</v>
      </c>
      <c r="U348" s="479">
        <v>41182</v>
      </c>
      <c r="V348" s="425">
        <v>5502.865484225933</v>
      </c>
      <c r="W348" s="400">
        <f t="shared" si="19"/>
        <v>0.97113113437329845</v>
      </c>
      <c r="X348" s="543" t="s">
        <v>1314</v>
      </c>
      <c r="Y348" s="445" t="s">
        <v>2180</v>
      </c>
      <c r="Z348" s="445" t="s">
        <v>908</v>
      </c>
      <c r="AA348" s="733">
        <v>41091</v>
      </c>
      <c r="AB348" s="431"/>
      <c r="AC348" s="431">
        <v>41045</v>
      </c>
      <c r="AD348" s="431">
        <v>41025</v>
      </c>
      <c r="AE348" s="431"/>
      <c r="AF348" s="431"/>
      <c r="AG348" s="420"/>
      <c r="AH348" s="420">
        <v>0</v>
      </c>
      <c r="AI348" s="422"/>
      <c r="AJ348" s="420"/>
      <c r="AK348" s="420"/>
      <c r="AL348" s="420"/>
      <c r="AM348" s="420"/>
      <c r="AN348" s="420"/>
      <c r="AO348" s="532"/>
      <c r="AP348" s="463"/>
      <c r="AQ348" s="466"/>
    </row>
    <row r="349" spans="1:48" s="464" customFormat="1" ht="12.75" customHeight="1">
      <c r="A349" s="491" t="s">
        <v>3227</v>
      </c>
      <c r="B349" s="467" t="s">
        <v>3251</v>
      </c>
      <c r="C349" s="445" t="s">
        <v>3191</v>
      </c>
      <c r="D349" s="449" t="s">
        <v>1176</v>
      </c>
      <c r="E349" s="445" t="s">
        <v>3192</v>
      </c>
      <c r="F349" s="419">
        <v>1</v>
      </c>
      <c r="G349" s="548"/>
      <c r="H349" s="448" t="s">
        <v>968</v>
      </c>
      <c r="I349" s="455" t="s">
        <v>911</v>
      </c>
      <c r="J349" s="513" t="s">
        <v>1577</v>
      </c>
      <c r="K349" s="533" t="s">
        <v>2001</v>
      </c>
      <c r="L349" s="423">
        <v>173.084</v>
      </c>
      <c r="M349" s="423">
        <v>0</v>
      </c>
      <c r="N349" s="865">
        <v>40480</v>
      </c>
      <c r="O349" s="425">
        <v>519.25099999999998</v>
      </c>
      <c r="P349" s="445" t="s">
        <v>1314</v>
      </c>
      <c r="Q349" s="422">
        <f>225.161+204.009</f>
        <v>429.16999999999996</v>
      </c>
      <c r="R349" s="425"/>
      <c r="S349" s="425"/>
      <c r="T349" s="733">
        <v>41081</v>
      </c>
      <c r="U349" s="479">
        <v>41182</v>
      </c>
      <c r="V349" s="425">
        <v>332.89032328767127</v>
      </c>
      <c r="W349" s="400">
        <f t="shared" si="19"/>
        <v>1.2892234167742012</v>
      </c>
      <c r="X349" s="448" t="s">
        <v>1314</v>
      </c>
      <c r="Y349" s="445" t="s">
        <v>2180</v>
      </c>
      <c r="Z349" s="445" t="s">
        <v>908</v>
      </c>
      <c r="AA349" s="733">
        <v>41091</v>
      </c>
      <c r="AB349" s="733"/>
      <c r="AC349" s="444">
        <v>41045</v>
      </c>
      <c r="AD349" s="444">
        <v>41025</v>
      </c>
      <c r="AE349" s="444"/>
      <c r="AF349" s="444"/>
      <c r="AG349" s="419"/>
      <c r="AH349" s="419">
        <v>0</v>
      </c>
      <c r="AI349" s="425"/>
      <c r="AJ349" s="419"/>
      <c r="AK349" s="419"/>
      <c r="AL349" s="428"/>
      <c r="AM349" s="419"/>
      <c r="AN349" s="419"/>
      <c r="AO349" s="532"/>
      <c r="AP349" s="489"/>
      <c r="AQ349" s="466"/>
      <c r="AR349" s="474"/>
      <c r="AS349" s="474"/>
      <c r="AT349" s="474"/>
      <c r="AU349" s="474"/>
      <c r="AV349" s="474"/>
    </row>
    <row r="350" spans="1:48" s="464" customFormat="1" ht="12.75" customHeight="1">
      <c r="A350" s="491" t="s">
        <v>3155</v>
      </c>
      <c r="B350" s="467" t="s">
        <v>3247</v>
      </c>
      <c r="C350" s="445" t="s">
        <v>3140</v>
      </c>
      <c r="D350" s="449" t="s">
        <v>1176</v>
      </c>
      <c r="E350" s="445" t="s">
        <v>647</v>
      </c>
      <c r="F350" s="419">
        <v>1</v>
      </c>
      <c r="G350" s="419"/>
      <c r="H350" s="448" t="s">
        <v>968</v>
      </c>
      <c r="I350" s="471" t="s">
        <v>1735</v>
      </c>
      <c r="J350" s="419" t="s">
        <v>1105</v>
      </c>
      <c r="K350" s="448" t="s">
        <v>3141</v>
      </c>
      <c r="L350" s="423">
        <v>381.89800000000002</v>
      </c>
      <c r="M350" s="423">
        <v>0</v>
      </c>
      <c r="N350" s="444">
        <v>40682</v>
      </c>
      <c r="O350" s="425">
        <f>L350*2</f>
        <v>763.79600000000005</v>
      </c>
      <c r="P350" s="513" t="s">
        <v>728</v>
      </c>
      <c r="Q350" s="422">
        <f>335.793+63.772</f>
        <v>399.565</v>
      </c>
      <c r="R350" s="425"/>
      <c r="S350" s="425"/>
      <c r="T350" s="733">
        <v>41187</v>
      </c>
      <c r="U350" s="444">
        <v>41182</v>
      </c>
      <c r="V350" s="425">
        <v>523.14794520547946</v>
      </c>
      <c r="W350" s="400">
        <f t="shared" si="19"/>
        <v>0.76377056177303881</v>
      </c>
      <c r="X350" s="448" t="s">
        <v>728</v>
      </c>
      <c r="Y350" s="445" t="s">
        <v>3019</v>
      </c>
      <c r="Z350" s="445" t="s">
        <v>3142</v>
      </c>
      <c r="AA350" s="733">
        <v>41074</v>
      </c>
      <c r="AB350" s="444"/>
      <c r="AC350" s="444">
        <v>40980</v>
      </c>
      <c r="AD350" s="444">
        <v>40507</v>
      </c>
      <c r="AE350" s="444"/>
      <c r="AF350" s="444"/>
      <c r="AG350" s="419"/>
      <c r="AH350" s="419">
        <v>220</v>
      </c>
      <c r="AI350" s="425">
        <f>1711500/AH350</f>
        <v>7779.545454545455</v>
      </c>
      <c r="AJ350" s="419"/>
      <c r="AK350" s="419"/>
      <c r="AL350" s="428"/>
      <c r="AM350" s="419"/>
      <c r="AN350" s="419"/>
      <c r="AO350" s="532"/>
      <c r="AP350" s="489"/>
      <c r="AQ350" s="466"/>
      <c r="AR350" s="489"/>
      <c r="AS350" s="489"/>
      <c r="AT350" s="489"/>
      <c r="AU350" s="489"/>
      <c r="AV350" s="489"/>
    </row>
    <row r="351" spans="1:48" s="464" customFormat="1" ht="12.75" customHeight="1">
      <c r="A351" s="491" t="s">
        <v>3154</v>
      </c>
      <c r="B351" s="467" t="s">
        <v>3248</v>
      </c>
      <c r="C351" s="445" t="s">
        <v>3119</v>
      </c>
      <c r="D351" s="449" t="s">
        <v>1176</v>
      </c>
      <c r="E351" s="445" t="s">
        <v>1414</v>
      </c>
      <c r="F351" s="419">
        <v>1</v>
      </c>
      <c r="G351" s="419"/>
      <c r="H351" s="448" t="s">
        <v>968</v>
      </c>
      <c r="I351" s="533" t="s">
        <v>256</v>
      </c>
      <c r="J351" s="419" t="s">
        <v>3128</v>
      </c>
      <c r="K351" s="448" t="s">
        <v>2001</v>
      </c>
      <c r="L351" s="425">
        <v>598.73500000000001</v>
      </c>
      <c r="M351" s="423">
        <v>0</v>
      </c>
      <c r="N351" s="444">
        <v>40909</v>
      </c>
      <c r="O351" s="425">
        <f>L351*1</f>
        <v>598.73500000000001</v>
      </c>
      <c r="P351" s="513" t="s">
        <v>728</v>
      </c>
      <c r="Q351" s="422"/>
      <c r="R351" s="425"/>
      <c r="S351" s="425"/>
      <c r="T351" s="733"/>
      <c r="U351" s="444"/>
      <c r="V351" s="425"/>
      <c r="W351" s="419"/>
      <c r="X351" s="448"/>
      <c r="Y351" s="445" t="s">
        <v>3019</v>
      </c>
      <c r="Z351" s="445" t="s">
        <v>596</v>
      </c>
      <c r="AA351" s="733">
        <v>41074</v>
      </c>
      <c r="AB351" s="444"/>
      <c r="AC351" s="444">
        <v>40564</v>
      </c>
      <c r="AD351" s="444">
        <v>40980</v>
      </c>
      <c r="AE351" s="444"/>
      <c r="AF351" s="444"/>
      <c r="AG351" s="419"/>
      <c r="AH351" s="419">
        <f>418*3</f>
        <v>1254</v>
      </c>
      <c r="AI351" s="425">
        <f>1000*2781.2*3/AH351</f>
        <v>6653.5885167464112</v>
      </c>
      <c r="AJ351" s="423">
        <f>1483/Exch!B11</f>
        <v>1756.3739913581187</v>
      </c>
      <c r="AK351" s="423">
        <f>AJ351*1000/L351</f>
        <v>2933.4747281487112</v>
      </c>
      <c r="AL351" s="424">
        <f>AJ351*1000/AH351</f>
        <v>1400.6172179889304</v>
      </c>
      <c r="AM351" s="419"/>
      <c r="AN351" s="419"/>
      <c r="AO351" s="532"/>
      <c r="AP351" s="489"/>
      <c r="AQ351" s="466"/>
      <c r="AR351" s="474"/>
      <c r="AS351" s="474"/>
      <c r="AT351" s="474"/>
      <c r="AU351" s="474"/>
      <c r="AV351" s="474"/>
    </row>
    <row r="352" spans="1:48" s="464" customFormat="1" ht="12.75" customHeight="1">
      <c r="A352" s="491" t="s">
        <v>3233</v>
      </c>
      <c r="B352" s="467" t="s">
        <v>3252</v>
      </c>
      <c r="C352" s="445" t="s">
        <v>3208</v>
      </c>
      <c r="D352" s="449" t="s">
        <v>1176</v>
      </c>
      <c r="E352" s="445" t="s">
        <v>1939</v>
      </c>
      <c r="F352" s="419">
        <v>1</v>
      </c>
      <c r="G352" s="419"/>
      <c r="H352" s="448" t="s">
        <v>968</v>
      </c>
      <c r="I352" s="533" t="s">
        <v>256</v>
      </c>
      <c r="J352" s="428" t="s">
        <v>3128</v>
      </c>
      <c r="K352" s="448" t="s">
        <v>2001</v>
      </c>
      <c r="L352" s="423">
        <f>O352/5</f>
        <v>659.89160000000004</v>
      </c>
      <c r="M352" s="423">
        <v>0</v>
      </c>
      <c r="N352" s="444">
        <v>39448</v>
      </c>
      <c r="O352" s="425">
        <v>3299.4580000000001</v>
      </c>
      <c r="P352" s="513" t="s">
        <v>728</v>
      </c>
      <c r="Q352" s="422">
        <f>2593.26</f>
        <v>2593.2600000000002</v>
      </c>
      <c r="R352" s="425"/>
      <c r="S352" s="425"/>
      <c r="T352" s="733">
        <v>41058</v>
      </c>
      <c r="U352" s="444">
        <v>40908</v>
      </c>
      <c r="V352" s="425">
        <v>2639.5664000000002</v>
      </c>
      <c r="W352" s="400">
        <f>Q352/V352</f>
        <v>0.98245681563456788</v>
      </c>
      <c r="X352" s="543" t="s">
        <v>728</v>
      </c>
      <c r="Y352" s="445" t="s">
        <v>3195</v>
      </c>
      <c r="Z352" s="445" t="s">
        <v>3209</v>
      </c>
      <c r="AA352" s="733">
        <v>41100</v>
      </c>
      <c r="AB352" s="444"/>
      <c r="AC352" s="444">
        <v>40936</v>
      </c>
      <c r="AD352" s="444">
        <v>40580</v>
      </c>
      <c r="AE352" s="444"/>
      <c r="AF352" s="444"/>
      <c r="AG352" s="419"/>
      <c r="AH352" s="419">
        <v>0</v>
      </c>
      <c r="AI352" s="425"/>
      <c r="AJ352" s="419"/>
      <c r="AK352" s="419"/>
      <c r="AL352" s="428"/>
      <c r="AM352" s="419"/>
      <c r="AN352" s="419"/>
      <c r="AO352" s="532"/>
      <c r="AP352" s="489"/>
      <c r="AQ352" s="466"/>
      <c r="AR352" s="474"/>
      <c r="AS352" s="474"/>
      <c r="AT352" s="474"/>
      <c r="AU352" s="474"/>
      <c r="AV352" s="474"/>
    </row>
    <row r="353" spans="1:48" s="464" customFormat="1" ht="12.75" customHeight="1">
      <c r="A353" s="459" t="s">
        <v>51</v>
      </c>
      <c r="B353" s="467" t="s">
        <v>3294</v>
      </c>
      <c r="C353" s="445" t="s">
        <v>3018</v>
      </c>
      <c r="D353" s="449" t="s">
        <v>1176</v>
      </c>
      <c r="E353" s="978" t="s">
        <v>91</v>
      </c>
      <c r="F353" s="419">
        <v>1</v>
      </c>
      <c r="G353" s="445" t="s">
        <v>3916</v>
      </c>
      <c r="H353" s="448" t="s">
        <v>968</v>
      </c>
      <c r="I353" s="455" t="s">
        <v>971</v>
      </c>
      <c r="J353" s="507" t="s">
        <v>2185</v>
      </c>
      <c r="K353" s="533" t="s">
        <v>680</v>
      </c>
      <c r="L353" s="425">
        <v>164.97900000000001</v>
      </c>
      <c r="M353" s="423">
        <v>40</v>
      </c>
      <c r="N353" s="444">
        <v>39966</v>
      </c>
      <c r="O353" s="425">
        <v>659.91399999999999</v>
      </c>
      <c r="P353" s="513" t="s">
        <v>728</v>
      </c>
      <c r="Q353" s="422">
        <f>47.827+127.402+130.971</f>
        <v>306.2</v>
      </c>
      <c r="R353" s="425"/>
      <c r="S353" s="425"/>
      <c r="T353" s="733">
        <v>40837</v>
      </c>
      <c r="U353" s="444">
        <v>40908</v>
      </c>
      <c r="V353" s="425">
        <v>300.91206282604617</v>
      </c>
      <c r="W353" s="400">
        <f>Q353/V353</f>
        <v>1.0175730315504523</v>
      </c>
      <c r="X353" s="448" t="s">
        <v>728</v>
      </c>
      <c r="Y353" s="419" t="s">
        <v>3019</v>
      </c>
      <c r="Z353" s="445" t="s">
        <v>596</v>
      </c>
      <c r="AA353" s="848">
        <v>40163</v>
      </c>
      <c r="AB353" s="444">
        <v>41005</v>
      </c>
      <c r="AC353" s="444">
        <v>40542</v>
      </c>
      <c r="AD353" s="444">
        <v>40358</v>
      </c>
      <c r="AE353" s="444"/>
      <c r="AF353" s="444"/>
      <c r="AG353" s="419"/>
      <c r="AH353" s="419">
        <f>4*(29.5-23.25)+4*(30.5-23.25)</f>
        <v>54</v>
      </c>
      <c r="AI353" s="740"/>
      <c r="AJ353" s="1012">
        <f>135.6/Exch!B11</f>
        <v>160.59630022128178</v>
      </c>
      <c r="AK353" s="423">
        <f>AJ353*1000/L353</f>
        <v>973.43480213410044</v>
      </c>
      <c r="AL353" s="424">
        <f>AJ353*1000/AH353</f>
        <v>2974.0055596533662</v>
      </c>
      <c r="AM353" s="419"/>
      <c r="AN353" s="419"/>
      <c r="AO353" s="532" t="s">
        <v>3020</v>
      </c>
      <c r="AP353" s="489"/>
      <c r="AQ353" s="466"/>
      <c r="AR353" s="474"/>
      <c r="AS353" s="474"/>
      <c r="AT353" s="474"/>
      <c r="AU353" s="474"/>
      <c r="AV353" s="474"/>
    </row>
    <row r="354" spans="1:48" s="464" customFormat="1" ht="12.75" customHeight="1">
      <c r="A354" s="491" t="s">
        <v>3306</v>
      </c>
      <c r="B354" s="467" t="s">
        <v>3315</v>
      </c>
      <c r="C354" s="445" t="s">
        <v>3298</v>
      </c>
      <c r="D354" s="449" t="s">
        <v>1176</v>
      </c>
      <c r="E354" s="445" t="s">
        <v>3299</v>
      </c>
      <c r="F354" s="419">
        <v>1</v>
      </c>
      <c r="G354" s="419"/>
      <c r="H354" s="448" t="s">
        <v>968</v>
      </c>
      <c r="I354" s="455" t="s">
        <v>1467</v>
      </c>
      <c r="J354" s="419" t="s">
        <v>2128</v>
      </c>
      <c r="K354" s="533" t="s">
        <v>2001</v>
      </c>
      <c r="L354" s="423">
        <v>430.25299999999999</v>
      </c>
      <c r="M354" s="423">
        <v>0</v>
      </c>
      <c r="N354" s="444">
        <v>39448</v>
      </c>
      <c r="O354" s="425">
        <v>4839.942</v>
      </c>
      <c r="P354" s="513" t="s">
        <v>728</v>
      </c>
      <c r="Q354" s="422">
        <v>4679.2529999999997</v>
      </c>
      <c r="R354" s="425"/>
      <c r="S354" s="425"/>
      <c r="T354" s="733">
        <v>41058</v>
      </c>
      <c r="U354" s="444">
        <v>40999</v>
      </c>
      <c r="V354" s="425">
        <v>1828.2805561643836</v>
      </c>
      <c r="W354" s="400">
        <f>Q354/V354</f>
        <v>2.559373606103855</v>
      </c>
      <c r="X354" s="448" t="s">
        <v>1314</v>
      </c>
      <c r="Y354" s="445" t="s">
        <v>2180</v>
      </c>
      <c r="Z354" s="445" t="s">
        <v>3300</v>
      </c>
      <c r="AA354" s="733">
        <v>41151</v>
      </c>
      <c r="AB354" s="444"/>
      <c r="AC354" s="444">
        <v>41045</v>
      </c>
      <c r="AD354" s="444">
        <v>41019</v>
      </c>
      <c r="AE354" s="444"/>
      <c r="AF354" s="444"/>
      <c r="AG354" s="419"/>
      <c r="AH354" s="419">
        <v>0</v>
      </c>
      <c r="AI354" s="425"/>
      <c r="AJ354" s="740"/>
      <c r="AK354" s="419"/>
      <c r="AL354" s="428"/>
      <c r="AM354" s="419"/>
      <c r="AN354" s="419"/>
      <c r="AO354" s="532"/>
      <c r="AP354" s="489"/>
      <c r="AQ354" s="466"/>
      <c r="AR354" s="474"/>
      <c r="AS354" s="474"/>
      <c r="AT354" s="474"/>
      <c r="AU354" s="474"/>
      <c r="AV354" s="851"/>
    </row>
    <row r="355" spans="1:48" s="464" customFormat="1" ht="12.75" customHeight="1">
      <c r="A355" s="459" t="s">
        <v>1438</v>
      </c>
      <c r="B355" s="451" t="s">
        <v>4037</v>
      </c>
      <c r="C355" s="419" t="s">
        <v>691</v>
      </c>
      <c r="D355" s="420" t="s">
        <v>1176</v>
      </c>
      <c r="E355" s="419" t="s">
        <v>175</v>
      </c>
      <c r="F355" s="419">
        <v>1</v>
      </c>
      <c r="G355" s="493" t="s">
        <v>4036</v>
      </c>
      <c r="H355" s="549" t="s">
        <v>968</v>
      </c>
      <c r="I355" s="533" t="s">
        <v>1735</v>
      </c>
      <c r="J355" s="419" t="s">
        <v>1105</v>
      </c>
      <c r="K355" s="533" t="s">
        <v>2001</v>
      </c>
      <c r="L355" s="425">
        <v>1306.95</v>
      </c>
      <c r="M355" s="423">
        <v>0</v>
      </c>
      <c r="N355" s="444">
        <v>40655</v>
      </c>
      <c r="O355" s="425">
        <v>2293.6959999999999</v>
      </c>
      <c r="P355" s="419" t="s">
        <v>728</v>
      </c>
      <c r="Q355" s="422">
        <f>674.922</f>
        <v>674.92200000000003</v>
      </c>
      <c r="R355" s="425"/>
      <c r="S355" s="425"/>
      <c r="T355" s="733">
        <v>40990</v>
      </c>
      <c r="U355" s="444">
        <v>40908</v>
      </c>
      <c r="V355" s="425">
        <v>905.91328767123298</v>
      </c>
      <c r="W355" s="400">
        <f>Q355/V355</f>
        <v>0.745018324805649</v>
      </c>
      <c r="X355" s="404" t="s">
        <v>728</v>
      </c>
      <c r="Y355" s="445" t="s">
        <v>293</v>
      </c>
      <c r="Z355" s="429" t="s">
        <v>1616</v>
      </c>
      <c r="AA355" s="848">
        <v>40201</v>
      </c>
      <c r="AB355" s="496">
        <v>41204</v>
      </c>
      <c r="AC355" s="444">
        <v>40906</v>
      </c>
      <c r="AD355" s="444">
        <v>40984</v>
      </c>
      <c r="AE355" s="444"/>
      <c r="AF355" s="444"/>
      <c r="AG355" s="423"/>
      <c r="AH355" s="423">
        <v>800</v>
      </c>
      <c r="AI355" s="425">
        <f>2843890/AH355</f>
        <v>3554.8625000000002</v>
      </c>
      <c r="AJ355" s="551"/>
      <c r="AK355" s="423"/>
      <c r="AL355" s="424"/>
      <c r="AM355" s="423"/>
      <c r="AN355" s="423"/>
      <c r="AO355" s="419"/>
      <c r="AP355" s="732"/>
      <c r="AQ355" s="51"/>
      <c r="AR355" s="474"/>
      <c r="AS355" s="474"/>
      <c r="AT355" s="474"/>
      <c r="AU355" s="474"/>
      <c r="AV355" s="474"/>
    </row>
    <row r="356" spans="1:48" s="464" customFormat="1" ht="12.75" customHeight="1">
      <c r="A356" s="459" t="s">
        <v>1258</v>
      </c>
      <c r="B356" s="467" t="s">
        <v>3324</v>
      </c>
      <c r="C356" s="445" t="s">
        <v>3325</v>
      </c>
      <c r="D356" s="449" t="s">
        <v>1176</v>
      </c>
      <c r="E356" s="445" t="s">
        <v>1540</v>
      </c>
      <c r="F356" s="419">
        <v>1</v>
      </c>
      <c r="G356" s="445" t="s">
        <v>3924</v>
      </c>
      <c r="H356" s="448" t="s">
        <v>968</v>
      </c>
      <c r="I356" s="471" t="s">
        <v>1736</v>
      </c>
      <c r="J356" s="419" t="s">
        <v>973</v>
      </c>
      <c r="K356" s="533" t="s">
        <v>2001</v>
      </c>
      <c r="L356" s="425">
        <v>326.62</v>
      </c>
      <c r="M356" s="423">
        <v>0</v>
      </c>
      <c r="N356" s="444">
        <v>40452</v>
      </c>
      <c r="O356" s="425">
        <v>734.89400000000001</v>
      </c>
      <c r="P356" s="513" t="s">
        <v>728</v>
      </c>
      <c r="Q356" s="422"/>
      <c r="R356" s="425"/>
      <c r="S356" s="425"/>
      <c r="T356" s="733"/>
      <c r="U356" s="444"/>
      <c r="V356" s="425"/>
      <c r="W356" s="427"/>
      <c r="X356" s="448"/>
      <c r="Y356" s="445" t="s">
        <v>3326</v>
      </c>
      <c r="Z356" s="445" t="s">
        <v>1616</v>
      </c>
      <c r="AA356" s="550">
        <v>40057</v>
      </c>
      <c r="AB356" s="444">
        <v>41156</v>
      </c>
      <c r="AC356" s="444">
        <v>41045</v>
      </c>
      <c r="AD356" s="444">
        <v>40086</v>
      </c>
      <c r="AE356" s="444"/>
      <c r="AF356" s="444"/>
      <c r="AG356" s="419"/>
      <c r="AH356" s="423">
        <v>0</v>
      </c>
      <c r="AI356" s="425"/>
      <c r="AJ356" s="740"/>
      <c r="AK356" s="419"/>
      <c r="AL356" s="428"/>
      <c r="AM356" s="419"/>
      <c r="AN356" s="419"/>
      <c r="AO356" s="532"/>
      <c r="AP356" s="489"/>
      <c r="AQ356" s="466"/>
      <c r="AR356" s="474"/>
      <c r="AS356" s="474"/>
      <c r="AT356" s="474"/>
      <c r="AU356" s="474"/>
      <c r="AV356" s="474"/>
    </row>
    <row r="357" spans="1:48" s="851" customFormat="1" ht="28.5" customHeight="1">
      <c r="A357" s="459" t="s">
        <v>1437</v>
      </c>
      <c r="B357" s="52" t="s">
        <v>3365</v>
      </c>
      <c r="C357" s="428" t="s">
        <v>692</v>
      </c>
      <c r="D357" s="420" t="s">
        <v>1176</v>
      </c>
      <c r="E357" s="419" t="s">
        <v>188</v>
      </c>
      <c r="F357" s="419">
        <v>1</v>
      </c>
      <c r="G357" s="445" t="s">
        <v>3364</v>
      </c>
      <c r="H357" s="404" t="s">
        <v>968</v>
      </c>
      <c r="I357" s="533" t="s">
        <v>1735</v>
      </c>
      <c r="J357" s="419" t="s">
        <v>1105</v>
      </c>
      <c r="K357" s="448" t="s">
        <v>1245</v>
      </c>
      <c r="L357" s="425">
        <v>670.80100000000004</v>
      </c>
      <c r="M357" s="423">
        <v>0</v>
      </c>
      <c r="N357" s="444">
        <v>40706</v>
      </c>
      <c r="O357" s="425">
        <v>924.36400000000003</v>
      </c>
      <c r="P357" s="419" t="s">
        <v>728</v>
      </c>
      <c r="Q357" s="422">
        <f>354.583</f>
        <v>354.58300000000003</v>
      </c>
      <c r="R357" s="425"/>
      <c r="S357" s="425"/>
      <c r="T357" s="733">
        <v>40996</v>
      </c>
      <c r="U357" s="479">
        <v>40908</v>
      </c>
      <c r="V357" s="425">
        <v>371.23781369863013</v>
      </c>
      <c r="W357" s="400">
        <f>Q357/V357</f>
        <v>0.95513707633201816</v>
      </c>
      <c r="X357" s="448" t="s">
        <v>728</v>
      </c>
      <c r="Y357" s="419" t="s">
        <v>293</v>
      </c>
      <c r="Z357" s="429" t="s">
        <v>1616</v>
      </c>
      <c r="AA357" s="479">
        <v>40201</v>
      </c>
      <c r="AB357" s="496"/>
      <c r="AC357" s="444">
        <v>40906</v>
      </c>
      <c r="AD357" s="444">
        <v>40984</v>
      </c>
      <c r="AE357" s="444"/>
      <c r="AF357" s="444"/>
      <c r="AG357" s="423"/>
      <c r="AH357" s="423">
        <v>400</v>
      </c>
      <c r="AI357" s="425">
        <f>284389/AH357</f>
        <v>710.97249999999997</v>
      </c>
      <c r="AJ357" s="551"/>
      <c r="AK357" s="423"/>
      <c r="AL357" s="425"/>
      <c r="AM357" s="423"/>
      <c r="AN357" s="423"/>
      <c r="AO357" s="419"/>
      <c r="AP357" s="514"/>
      <c r="AQ357" s="51"/>
      <c r="AR357" s="474"/>
      <c r="AS357" s="474"/>
      <c r="AT357" s="474"/>
      <c r="AU357" s="474"/>
      <c r="AV357" s="474"/>
    </row>
    <row r="358" spans="1:48" s="489" customFormat="1" ht="24.75" customHeight="1">
      <c r="A358" s="491" t="s">
        <v>3307</v>
      </c>
      <c r="B358" s="468" t="s">
        <v>3363</v>
      </c>
      <c r="C358" s="445" t="s">
        <v>3301</v>
      </c>
      <c r="D358" s="449" t="s">
        <v>1176</v>
      </c>
      <c r="E358" s="445" t="s">
        <v>3302</v>
      </c>
      <c r="F358" s="419">
        <v>1</v>
      </c>
      <c r="G358" s="419"/>
      <c r="H358" s="448" t="s">
        <v>968</v>
      </c>
      <c r="I358" s="471" t="s">
        <v>1548</v>
      </c>
      <c r="J358" s="726" t="s">
        <v>886</v>
      </c>
      <c r="K358" s="533" t="s">
        <v>2001</v>
      </c>
      <c r="L358" s="423">
        <v>770.58399999999995</v>
      </c>
      <c r="M358" s="423">
        <v>0</v>
      </c>
      <c r="N358" s="444">
        <v>39448</v>
      </c>
      <c r="O358" s="425">
        <v>3852.922</v>
      </c>
      <c r="P358" s="513" t="s">
        <v>728</v>
      </c>
      <c r="Q358" s="422">
        <f>3135.197</f>
        <v>3135.1970000000001</v>
      </c>
      <c r="R358" s="425"/>
      <c r="S358" s="425"/>
      <c r="T358" s="733">
        <v>41222</v>
      </c>
      <c r="U358" s="479">
        <v>40908</v>
      </c>
      <c r="V358" s="425">
        <v>3082.3359999999998</v>
      </c>
      <c r="W358" s="400">
        <f>Q358/V358</f>
        <v>1.0171496553263499</v>
      </c>
      <c r="X358" s="448" t="s">
        <v>728</v>
      </c>
      <c r="Y358" s="445" t="s">
        <v>1084</v>
      </c>
      <c r="Z358" s="445" t="s">
        <v>908</v>
      </c>
      <c r="AA358" s="733">
        <v>41151</v>
      </c>
      <c r="AB358" s="444"/>
      <c r="AC358" s="444">
        <v>41045</v>
      </c>
      <c r="AD358" s="444">
        <v>41025</v>
      </c>
      <c r="AE358" s="444"/>
      <c r="AF358" s="444"/>
      <c r="AG358" s="419"/>
      <c r="AH358" s="419">
        <v>0</v>
      </c>
      <c r="AI358" s="425"/>
      <c r="AJ358" s="740"/>
      <c r="AK358" s="419"/>
      <c r="AL358" s="428"/>
      <c r="AM358" s="419"/>
      <c r="AN358" s="419"/>
      <c r="AO358" s="532"/>
      <c r="AQ358" s="466"/>
    </row>
    <row r="359" spans="1:48" s="489" customFormat="1" ht="12.75" customHeight="1">
      <c r="A359" s="491" t="s">
        <v>1999</v>
      </c>
      <c r="B359" s="468" t="s">
        <v>3344</v>
      </c>
      <c r="C359" s="445" t="s">
        <v>1995</v>
      </c>
      <c r="D359" s="449" t="s">
        <v>1176</v>
      </c>
      <c r="E359" s="419" t="s">
        <v>245</v>
      </c>
      <c r="F359" s="419">
        <v>1</v>
      </c>
      <c r="G359" s="449" t="s">
        <v>3125</v>
      </c>
      <c r="H359" s="421" t="s">
        <v>968</v>
      </c>
      <c r="I359" s="455" t="s">
        <v>911</v>
      </c>
      <c r="J359" s="419" t="s">
        <v>1577</v>
      </c>
      <c r="K359" s="448" t="s">
        <v>2001</v>
      </c>
      <c r="L359" s="425">
        <v>264.387</v>
      </c>
      <c r="M359" s="423">
        <v>54</v>
      </c>
      <c r="N359" s="444">
        <v>40179</v>
      </c>
      <c r="O359" s="425">
        <v>793.16</v>
      </c>
      <c r="P359" s="513" t="s">
        <v>728</v>
      </c>
      <c r="Q359" s="422"/>
      <c r="R359" s="419"/>
      <c r="S359" s="419"/>
      <c r="T359" s="733"/>
      <c r="U359" s="444"/>
      <c r="V359" s="425"/>
      <c r="W359" s="427"/>
      <c r="X359" s="448"/>
      <c r="Y359" s="445" t="s">
        <v>1615</v>
      </c>
      <c r="Z359" s="445" t="s">
        <v>1616</v>
      </c>
      <c r="AA359" s="550">
        <v>40409</v>
      </c>
      <c r="AB359" s="496">
        <v>41065</v>
      </c>
      <c r="AC359" s="444">
        <v>40980</v>
      </c>
      <c r="AD359" s="444">
        <v>40987</v>
      </c>
      <c r="AE359" s="444"/>
      <c r="AF359" s="444"/>
      <c r="AG359" s="423"/>
      <c r="AH359" s="423">
        <v>0</v>
      </c>
      <c r="AI359" s="425"/>
      <c r="AJ359" s="423"/>
      <c r="AK359" s="423"/>
      <c r="AL359" s="497"/>
      <c r="AM359" s="423"/>
      <c r="AN359" s="423"/>
      <c r="AO359" s="419"/>
      <c r="AQ359" s="51"/>
      <c r="AR359" s="851"/>
      <c r="AS359" s="851"/>
      <c r="AT359" s="851"/>
      <c r="AU359" s="851"/>
      <c r="AV359" s="851"/>
    </row>
    <row r="360" spans="1:48" s="489" customFormat="1" ht="25.5" customHeight="1">
      <c r="A360" s="491" t="s">
        <v>3290</v>
      </c>
      <c r="B360" s="731" t="s">
        <v>3368</v>
      </c>
      <c r="C360" s="445" t="s">
        <v>3273</v>
      </c>
      <c r="D360" s="449" t="s">
        <v>1176</v>
      </c>
      <c r="E360" s="445" t="s">
        <v>175</v>
      </c>
      <c r="F360" s="419">
        <v>1</v>
      </c>
      <c r="G360" s="419"/>
      <c r="H360" s="448" t="s">
        <v>968</v>
      </c>
      <c r="I360" s="471" t="s">
        <v>1548</v>
      </c>
      <c r="J360" s="726" t="s">
        <v>886</v>
      </c>
      <c r="K360" s="533" t="s">
        <v>2001</v>
      </c>
      <c r="L360" s="425">
        <v>1539.81</v>
      </c>
      <c r="M360" s="423">
        <v>0</v>
      </c>
      <c r="N360" s="444">
        <v>40118</v>
      </c>
      <c r="O360" s="425">
        <v>6159.2420000000002</v>
      </c>
      <c r="P360" s="513" t="s">
        <v>728</v>
      </c>
      <c r="Q360" s="422">
        <f>6306.207</f>
        <v>6306.2070000000003</v>
      </c>
      <c r="R360" s="425"/>
      <c r="S360" s="425"/>
      <c r="T360" s="733">
        <v>41212</v>
      </c>
      <c r="U360" s="444">
        <v>41060</v>
      </c>
      <c r="V360" s="425">
        <v>3973.9753972602734</v>
      </c>
      <c r="W360" s="400">
        <f>Q360/V360</f>
        <v>1.5868762057126995</v>
      </c>
      <c r="X360" s="448" t="s">
        <v>728</v>
      </c>
      <c r="Y360" s="445" t="s">
        <v>4074</v>
      </c>
      <c r="Z360" s="445" t="s">
        <v>908</v>
      </c>
      <c r="AA360" s="733">
        <v>41143</v>
      </c>
      <c r="AB360" s="444"/>
      <c r="AC360" s="444">
        <v>40928</v>
      </c>
      <c r="AD360" s="444">
        <v>40229</v>
      </c>
      <c r="AE360" s="444"/>
      <c r="AF360" s="444"/>
      <c r="AG360" s="419"/>
      <c r="AH360" s="419">
        <v>0</v>
      </c>
      <c r="AI360" s="425"/>
      <c r="AJ360" s="736"/>
      <c r="AK360" s="423"/>
      <c r="AL360" s="428"/>
      <c r="AM360" s="419"/>
      <c r="AN360" s="419"/>
      <c r="AO360" s="532"/>
      <c r="AQ360" s="466"/>
      <c r="AR360" s="474"/>
      <c r="AS360" s="474"/>
      <c r="AT360" s="474"/>
      <c r="AU360" s="474"/>
      <c r="AV360" s="474"/>
    </row>
    <row r="361" spans="1:48" s="489" customFormat="1" ht="12.75" customHeight="1">
      <c r="A361" s="459" t="s">
        <v>1387</v>
      </c>
      <c r="B361" s="731" t="s">
        <v>3366</v>
      </c>
      <c r="C361" s="445" t="s">
        <v>2469</v>
      </c>
      <c r="D361" s="449" t="s">
        <v>1176</v>
      </c>
      <c r="E361" s="445" t="s">
        <v>357</v>
      </c>
      <c r="F361" s="480">
        <v>1</v>
      </c>
      <c r="G361" s="445" t="s">
        <v>2859</v>
      </c>
      <c r="H361" s="533" t="s">
        <v>968</v>
      </c>
      <c r="I361" s="724" t="s">
        <v>1082</v>
      </c>
      <c r="J361" s="507" t="s">
        <v>1357</v>
      </c>
      <c r="K361" s="533" t="s">
        <v>2001</v>
      </c>
      <c r="L361" s="505">
        <v>43.072000000000003</v>
      </c>
      <c r="M361" s="505">
        <v>3</v>
      </c>
      <c r="N361" s="479">
        <v>39448</v>
      </c>
      <c r="O361" s="478">
        <f>L361*5</f>
        <v>215.36</v>
      </c>
      <c r="P361" s="532" t="s">
        <v>1731</v>
      </c>
      <c r="Q361" s="845">
        <f>105.339</f>
        <v>105.339</v>
      </c>
      <c r="R361" s="478"/>
      <c r="S361" s="478"/>
      <c r="T361" s="848">
        <v>40938</v>
      </c>
      <c r="U361" s="479">
        <v>40543</v>
      </c>
      <c r="V361" s="478">
        <v>120.21600000000001</v>
      </c>
      <c r="W361" s="400">
        <f>Q361/V361</f>
        <v>0.87624775404272304</v>
      </c>
      <c r="X361" s="448" t="s">
        <v>728</v>
      </c>
      <c r="Y361" s="445" t="s">
        <v>4039</v>
      </c>
      <c r="Z361" s="532" t="s">
        <v>835</v>
      </c>
      <c r="AA361" s="1070">
        <v>39135</v>
      </c>
      <c r="AB361" s="479">
        <v>40662</v>
      </c>
      <c r="AC361" s="479">
        <v>40542</v>
      </c>
      <c r="AD361" s="479">
        <v>39199</v>
      </c>
      <c r="AE361" s="479"/>
      <c r="AF361" s="479"/>
      <c r="AG361" s="480"/>
      <c r="AH361" s="874"/>
      <c r="AI361" s="478"/>
      <c r="AJ361" s="480"/>
      <c r="AK361" s="847"/>
      <c r="AL361" s="897"/>
      <c r="AM361" s="480"/>
      <c r="AN361" s="480"/>
      <c r="AO361" s="480" t="s">
        <v>2478</v>
      </c>
      <c r="AP361" s="801"/>
      <c r="AQ361" s="794"/>
      <c r="AR361" s="474"/>
      <c r="AS361" s="474"/>
      <c r="AT361" s="474"/>
      <c r="AU361" s="474"/>
      <c r="AV361" s="474"/>
    </row>
    <row r="362" spans="1:48" s="489" customFormat="1" ht="27" customHeight="1">
      <c r="A362" s="491" t="s">
        <v>3463</v>
      </c>
      <c r="B362" s="467" t="s">
        <v>3403</v>
      </c>
      <c r="C362" s="462" t="s">
        <v>3400</v>
      </c>
      <c r="D362" s="420" t="s">
        <v>1176</v>
      </c>
      <c r="E362" s="419" t="s">
        <v>3401</v>
      </c>
      <c r="F362" s="419">
        <v>1</v>
      </c>
      <c r="G362" s="419"/>
      <c r="H362" s="448" t="s">
        <v>968</v>
      </c>
      <c r="I362" s="533" t="s">
        <v>256</v>
      </c>
      <c r="J362" s="419" t="s">
        <v>3128</v>
      </c>
      <c r="K362" s="455" t="s">
        <v>3402</v>
      </c>
      <c r="L362" s="425">
        <f>O362/5</f>
        <v>614.96679999999992</v>
      </c>
      <c r="M362" s="423">
        <v>0</v>
      </c>
      <c r="N362" s="444">
        <v>39448</v>
      </c>
      <c r="O362" s="506">
        <v>3074.8339999999998</v>
      </c>
      <c r="P362" s="513" t="s">
        <v>728</v>
      </c>
      <c r="Q362" s="422">
        <f>2529.067</f>
        <v>2529.067</v>
      </c>
      <c r="R362" s="425"/>
      <c r="S362" s="425"/>
      <c r="T362" s="733"/>
      <c r="U362" s="444">
        <v>40908</v>
      </c>
      <c r="V362" s="425">
        <v>2459.8671999999997</v>
      </c>
      <c r="W362" s="400">
        <f>Q362/V362</f>
        <v>1.0281315186445839</v>
      </c>
      <c r="X362" s="455" t="s">
        <v>1084</v>
      </c>
      <c r="Y362" s="445" t="s">
        <v>2112</v>
      </c>
      <c r="Z362" s="445" t="s">
        <v>2646</v>
      </c>
      <c r="AA362" s="496">
        <v>41184</v>
      </c>
      <c r="AB362" s="550"/>
      <c r="AC362" s="444">
        <v>41045</v>
      </c>
      <c r="AD362" s="444">
        <v>41019</v>
      </c>
      <c r="AE362" s="444"/>
      <c r="AF362" s="444"/>
      <c r="AG362" s="423"/>
      <c r="AH362" s="423">
        <v>800</v>
      </c>
      <c r="AI362" s="1009"/>
      <c r="AJ362" s="736"/>
      <c r="AK362" s="423"/>
      <c r="AL362" s="423"/>
      <c r="AM362" s="423"/>
      <c r="AN362" s="423"/>
      <c r="AO362" s="419"/>
      <c r="AQ362" s="782"/>
      <c r="AR362" s="474"/>
      <c r="AS362" s="474"/>
      <c r="AT362" s="474"/>
      <c r="AU362" s="474"/>
      <c r="AV362" s="474"/>
    </row>
    <row r="363" spans="1:48" s="489" customFormat="1" ht="25.5" customHeight="1">
      <c r="A363" s="491" t="s">
        <v>3464</v>
      </c>
      <c r="B363" s="467" t="s">
        <v>4033</v>
      </c>
      <c r="C363" s="445" t="s">
        <v>3407</v>
      </c>
      <c r="D363" s="420" t="s">
        <v>1176</v>
      </c>
      <c r="E363" s="419" t="s">
        <v>1621</v>
      </c>
      <c r="F363" s="419">
        <v>1</v>
      </c>
      <c r="G363" s="419"/>
      <c r="H363" s="448" t="s">
        <v>968</v>
      </c>
      <c r="I363" s="471" t="s">
        <v>1735</v>
      </c>
      <c r="J363" s="419" t="s">
        <v>1105</v>
      </c>
      <c r="K363" s="455" t="s">
        <v>2001</v>
      </c>
      <c r="L363" s="506">
        <v>1130.232</v>
      </c>
      <c r="M363" s="423">
        <v>0</v>
      </c>
      <c r="N363" s="444">
        <v>40785</v>
      </c>
      <c r="O363" s="506">
        <v>1506.9760000000001</v>
      </c>
      <c r="P363" s="513" t="s">
        <v>728</v>
      </c>
      <c r="Q363" s="422"/>
      <c r="R363" s="419"/>
      <c r="S363" s="419"/>
      <c r="T363" s="733"/>
      <c r="U363" s="444"/>
      <c r="V363" s="425"/>
      <c r="W363" s="427"/>
      <c r="X363" s="448"/>
      <c r="Y363" s="419" t="s">
        <v>3408</v>
      </c>
      <c r="Z363" s="419" t="s">
        <v>2304</v>
      </c>
      <c r="AA363" s="496">
        <v>41184</v>
      </c>
      <c r="AB363" s="550"/>
      <c r="AC363" s="444">
        <v>40980</v>
      </c>
      <c r="AD363" s="444">
        <v>40784</v>
      </c>
      <c r="AE363" s="444"/>
      <c r="AF363" s="444"/>
      <c r="AG363" s="423"/>
      <c r="AH363" s="423">
        <v>410</v>
      </c>
      <c r="AI363" s="896"/>
      <c r="AJ363" s="953"/>
      <c r="AK363" s="423"/>
      <c r="AL363" s="423"/>
      <c r="AM363" s="423"/>
      <c r="AN363" s="423"/>
      <c r="AO363" s="419"/>
      <c r="AQ363" s="782"/>
      <c r="AR363" s="474"/>
      <c r="AS363" s="474"/>
      <c r="AT363" s="474"/>
      <c r="AU363" s="474"/>
      <c r="AV363" s="474"/>
    </row>
    <row r="364" spans="1:48" s="489" customFormat="1" ht="25.5" customHeight="1">
      <c r="A364" s="491" t="s">
        <v>3230</v>
      </c>
      <c r="B364" s="731" t="s">
        <v>3367</v>
      </c>
      <c r="C364" s="445" t="s">
        <v>3199</v>
      </c>
      <c r="D364" s="462" t="s">
        <v>1176</v>
      </c>
      <c r="E364" s="445" t="s">
        <v>3201</v>
      </c>
      <c r="F364" s="419">
        <v>1</v>
      </c>
      <c r="G364" s="548"/>
      <c r="H364" s="549" t="s">
        <v>968</v>
      </c>
      <c r="I364" s="724" t="s">
        <v>1082</v>
      </c>
      <c r="J364" s="445" t="s">
        <v>3200</v>
      </c>
      <c r="K364" s="455" t="s">
        <v>2001</v>
      </c>
      <c r="L364" s="423">
        <v>49.575000000000003</v>
      </c>
      <c r="M364" s="423">
        <v>14</v>
      </c>
      <c r="N364" s="444">
        <v>39448</v>
      </c>
      <c r="O364" s="506">
        <v>247.87299999999999</v>
      </c>
      <c r="P364" s="513" t="s">
        <v>728</v>
      </c>
      <c r="Q364" s="422">
        <f>229.507</f>
        <v>229.50700000000001</v>
      </c>
      <c r="R364" s="425"/>
      <c r="S364" s="425"/>
      <c r="T364" s="733">
        <v>41198</v>
      </c>
      <c r="U364" s="733">
        <v>41090</v>
      </c>
      <c r="V364" s="425">
        <v>207.23124601238513</v>
      </c>
      <c r="W364" s="400">
        <f>Q364/V364</f>
        <v>1.1074922552281694</v>
      </c>
      <c r="X364" s="448" t="s">
        <v>728</v>
      </c>
      <c r="Y364" s="445" t="s">
        <v>2180</v>
      </c>
      <c r="Z364" s="445" t="s">
        <v>908</v>
      </c>
      <c r="AA364" s="444">
        <v>41099</v>
      </c>
      <c r="AB364" s="733"/>
      <c r="AC364" s="444">
        <v>41045</v>
      </c>
      <c r="AD364" s="444">
        <v>41026</v>
      </c>
      <c r="AE364" s="444"/>
      <c r="AF364" s="444"/>
      <c r="AG364" s="419"/>
      <c r="AH364" s="419">
        <v>0</v>
      </c>
      <c r="AI364" s="425"/>
      <c r="AJ364" s="548"/>
      <c r="AK364" s="419"/>
      <c r="AL364" s="419"/>
      <c r="AM364" s="419"/>
      <c r="AN364" s="419"/>
      <c r="AO364" s="532"/>
      <c r="AP364" s="463"/>
      <c r="AQ364" s="466"/>
      <c r="AR364" s="474"/>
      <c r="AS364" s="474"/>
      <c r="AT364" s="474"/>
      <c r="AU364" s="474"/>
      <c r="AV364" s="474"/>
    </row>
    <row r="365" spans="1:48" s="489" customFormat="1" ht="15" customHeight="1">
      <c r="A365" s="491" t="s">
        <v>3497</v>
      </c>
      <c r="B365" s="467" t="s">
        <v>3503</v>
      </c>
      <c r="C365" s="445" t="s">
        <v>3449</v>
      </c>
      <c r="D365" s="428" t="s">
        <v>1176</v>
      </c>
      <c r="E365" s="419" t="s">
        <v>175</v>
      </c>
      <c r="F365" s="419">
        <v>1</v>
      </c>
      <c r="G365" s="548"/>
      <c r="H365" s="549" t="s">
        <v>968</v>
      </c>
      <c r="I365" s="471" t="s">
        <v>1548</v>
      </c>
      <c r="J365" s="726" t="s">
        <v>886</v>
      </c>
      <c r="K365" s="533" t="s">
        <v>2001</v>
      </c>
      <c r="L365" s="425">
        <f>O365/5</f>
        <v>135.8306</v>
      </c>
      <c r="M365" s="423">
        <v>50</v>
      </c>
      <c r="N365" s="444">
        <v>39448</v>
      </c>
      <c r="O365" s="506">
        <v>679.15300000000002</v>
      </c>
      <c r="P365" s="513" t="s">
        <v>728</v>
      </c>
      <c r="Q365" s="422">
        <f>37.605+91.053+163.8+188.403+83.424+118.589</f>
        <v>682.87400000000002</v>
      </c>
      <c r="R365" s="419"/>
      <c r="S365" s="419"/>
      <c r="T365" s="733"/>
      <c r="U365" s="733">
        <v>41274</v>
      </c>
      <c r="V365" s="425">
        <v>679.8677920360293</v>
      </c>
      <c r="W365" s="427"/>
      <c r="X365" s="448"/>
      <c r="Y365" s="419" t="s">
        <v>3195</v>
      </c>
      <c r="Z365" s="419" t="s">
        <v>3450</v>
      </c>
      <c r="AA365" s="496">
        <v>41201</v>
      </c>
      <c r="AB365" s="496"/>
      <c r="AC365" s="444">
        <v>41045</v>
      </c>
      <c r="AD365" s="444">
        <v>41012</v>
      </c>
      <c r="AE365" s="444"/>
      <c r="AF365" s="444"/>
      <c r="AG365" s="423"/>
      <c r="AH365" s="423">
        <v>39.9</v>
      </c>
      <c r="AI365" s="425">
        <f>256454/AH365</f>
        <v>6427.4185463659151</v>
      </c>
      <c r="AJ365" s="953"/>
      <c r="AK365" s="423"/>
      <c r="AL365" s="423"/>
      <c r="AM365" s="423"/>
      <c r="AN365" s="423"/>
      <c r="AO365" s="419"/>
      <c r="AP365" s="463"/>
      <c r="AQ365" s="782"/>
    </row>
    <row r="366" spans="1:48" s="489" customFormat="1" ht="12.75" customHeight="1">
      <c r="A366" s="491" t="s">
        <v>3465</v>
      </c>
      <c r="B366" s="467" t="s">
        <v>4038</v>
      </c>
      <c r="C366" s="445" t="s">
        <v>3456</v>
      </c>
      <c r="D366" s="428" t="s">
        <v>1176</v>
      </c>
      <c r="E366" s="419" t="s">
        <v>3457</v>
      </c>
      <c r="F366" s="419">
        <v>1</v>
      </c>
      <c r="G366" s="548"/>
      <c r="H366" s="549" t="s">
        <v>968</v>
      </c>
      <c r="I366" s="471" t="s">
        <v>1735</v>
      </c>
      <c r="J366" s="419" t="s">
        <v>1105</v>
      </c>
      <c r="K366" s="455" t="s">
        <v>2001</v>
      </c>
      <c r="L366" s="425">
        <v>317.916</v>
      </c>
      <c r="M366" s="423">
        <v>0</v>
      </c>
      <c r="N366" s="444">
        <v>40695</v>
      </c>
      <c r="O366" s="506">
        <v>503.36700000000002</v>
      </c>
      <c r="P366" s="513" t="s">
        <v>728</v>
      </c>
      <c r="Q366" s="422"/>
      <c r="R366" s="419"/>
      <c r="S366" s="419"/>
      <c r="T366" s="733"/>
      <c r="U366" s="733"/>
      <c r="V366" s="425"/>
      <c r="W366" s="427"/>
      <c r="X366" s="448"/>
      <c r="Y366" s="419" t="s">
        <v>3408</v>
      </c>
      <c r="Z366" s="419" t="s">
        <v>2304</v>
      </c>
      <c r="AA366" s="496">
        <v>41184</v>
      </c>
      <c r="AB366" s="550"/>
      <c r="AC366" s="444">
        <v>40980</v>
      </c>
      <c r="AD366" s="444">
        <v>40784</v>
      </c>
      <c r="AE366" s="444"/>
      <c r="AF366" s="444"/>
      <c r="AG366" s="423"/>
      <c r="AH366" s="423">
        <v>110</v>
      </c>
      <c r="AI366" s="425"/>
      <c r="AJ366" s="953"/>
      <c r="AK366" s="423"/>
      <c r="AL366" s="423"/>
      <c r="AM366" s="423"/>
      <c r="AN366" s="423"/>
      <c r="AO366" s="419"/>
      <c r="AP366" s="463"/>
      <c r="AQ366" s="782"/>
    </row>
    <row r="367" spans="1:48" s="489" customFormat="1" ht="25.5" customHeight="1">
      <c r="A367" s="491" t="s">
        <v>3305</v>
      </c>
      <c r="B367" s="467" t="s">
        <v>3508</v>
      </c>
      <c r="C367" s="445" t="s">
        <v>3297</v>
      </c>
      <c r="D367" s="462" t="s">
        <v>1176</v>
      </c>
      <c r="E367" s="445" t="s">
        <v>175</v>
      </c>
      <c r="F367" s="419">
        <v>1</v>
      </c>
      <c r="G367" s="548"/>
      <c r="H367" s="549" t="s">
        <v>968</v>
      </c>
      <c r="I367" s="471" t="s">
        <v>1548</v>
      </c>
      <c r="J367" s="726" t="s">
        <v>886</v>
      </c>
      <c r="K367" s="533" t="s">
        <v>2001</v>
      </c>
      <c r="L367" s="423">
        <v>235.11500000000001</v>
      </c>
      <c r="M367" s="423">
        <v>0</v>
      </c>
      <c r="N367" s="444">
        <v>39456</v>
      </c>
      <c r="O367" s="506">
        <v>1175.575</v>
      </c>
      <c r="P367" s="513" t="s">
        <v>728</v>
      </c>
      <c r="Q367" s="422">
        <f>1088.365</f>
        <v>1088.365</v>
      </c>
      <c r="R367" s="425"/>
      <c r="S367" s="425"/>
      <c r="T367" s="733">
        <v>41215</v>
      </c>
      <c r="U367" s="733">
        <v>41182</v>
      </c>
      <c r="V367" s="425">
        <v>1111.8040821917809</v>
      </c>
      <c r="W367" s="400">
        <f t="shared" ref="W367:W376" si="21">Q367/V367</f>
        <v>0.97891797433809224</v>
      </c>
      <c r="X367" s="455" t="s">
        <v>4075</v>
      </c>
      <c r="Y367" s="419" t="s">
        <v>2180</v>
      </c>
      <c r="Z367" s="445" t="s">
        <v>908</v>
      </c>
      <c r="AA367" s="444">
        <v>41151</v>
      </c>
      <c r="AB367" s="733"/>
      <c r="AC367" s="444">
        <v>41045</v>
      </c>
      <c r="AD367" s="444">
        <v>41108</v>
      </c>
      <c r="AE367" s="444"/>
      <c r="AF367" s="444"/>
      <c r="AG367" s="419"/>
      <c r="AH367" s="419">
        <v>60</v>
      </c>
      <c r="AI367" s="425"/>
      <c r="AJ367" s="1011"/>
      <c r="AK367" s="419"/>
      <c r="AL367" s="419"/>
      <c r="AM367" s="419"/>
      <c r="AN367" s="419"/>
      <c r="AO367" s="532"/>
      <c r="AP367" s="463"/>
      <c r="AQ367" s="466"/>
      <c r="AR367" s="474"/>
      <c r="AS367" s="474"/>
      <c r="AT367" s="474"/>
      <c r="AU367" s="474"/>
      <c r="AV367" s="474"/>
    </row>
    <row r="368" spans="1:48" s="489" customFormat="1" ht="27" customHeight="1">
      <c r="A368" s="491" t="s">
        <v>3225</v>
      </c>
      <c r="B368" s="467" t="s">
        <v>3537</v>
      </c>
      <c r="C368" s="445" t="s">
        <v>3188</v>
      </c>
      <c r="D368" s="462" t="s">
        <v>1176</v>
      </c>
      <c r="E368" s="445" t="s">
        <v>3189</v>
      </c>
      <c r="F368" s="419">
        <v>1</v>
      </c>
      <c r="G368" s="548"/>
      <c r="H368" s="549" t="s">
        <v>968</v>
      </c>
      <c r="I368" s="533" t="s">
        <v>256</v>
      </c>
      <c r="J368" s="419" t="s">
        <v>3128</v>
      </c>
      <c r="K368" s="448" t="s">
        <v>2001</v>
      </c>
      <c r="L368" s="423">
        <f>O368/5</f>
        <v>479.92200000000003</v>
      </c>
      <c r="M368" s="423">
        <v>0</v>
      </c>
      <c r="N368" s="444">
        <v>39448</v>
      </c>
      <c r="O368" s="506">
        <v>2399.61</v>
      </c>
      <c r="P368" s="513" t="s">
        <v>728</v>
      </c>
      <c r="Q368" s="422">
        <f>1944.026</f>
        <v>1944.0260000000001</v>
      </c>
      <c r="R368" s="425"/>
      <c r="S368" s="425"/>
      <c r="T368" s="733">
        <v>41114</v>
      </c>
      <c r="U368" s="733">
        <v>41274</v>
      </c>
      <c r="V368" s="425">
        <v>2400.9248547945208</v>
      </c>
      <c r="W368" s="400">
        <f t="shared" si="21"/>
        <v>0.80969881090525686</v>
      </c>
      <c r="X368" s="448" t="s">
        <v>728</v>
      </c>
      <c r="Y368" s="419" t="s">
        <v>2180</v>
      </c>
      <c r="Z368" s="445" t="s">
        <v>908</v>
      </c>
      <c r="AA368" s="444">
        <v>41091</v>
      </c>
      <c r="AB368" s="733"/>
      <c r="AC368" s="444">
        <v>41045</v>
      </c>
      <c r="AD368" s="444">
        <v>40931</v>
      </c>
      <c r="AE368" s="444"/>
      <c r="AF368" s="444"/>
      <c r="AG368" s="419"/>
      <c r="AH368" s="419">
        <v>150</v>
      </c>
      <c r="AI368" s="425"/>
      <c r="AJ368" s="548"/>
      <c r="AK368" s="419"/>
      <c r="AL368" s="419"/>
      <c r="AM368" s="419"/>
      <c r="AN368" s="419"/>
      <c r="AO368" s="532"/>
      <c r="AP368" s="463"/>
      <c r="AQ368" s="466"/>
    </row>
    <row r="369" spans="1:48" s="489" customFormat="1" ht="24.75" customHeight="1">
      <c r="A369" s="491" t="s">
        <v>3284</v>
      </c>
      <c r="B369" s="467" t="s">
        <v>3547</v>
      </c>
      <c r="C369" s="445" t="s">
        <v>3261</v>
      </c>
      <c r="D369" s="462" t="s">
        <v>1176</v>
      </c>
      <c r="E369" s="445" t="s">
        <v>862</v>
      </c>
      <c r="F369" s="419">
        <v>1</v>
      </c>
      <c r="G369" s="548"/>
      <c r="H369" s="549" t="s">
        <v>968</v>
      </c>
      <c r="I369" s="471" t="s">
        <v>1735</v>
      </c>
      <c r="J369" s="419" t="s">
        <v>742</v>
      </c>
      <c r="K369" s="448" t="s">
        <v>2001</v>
      </c>
      <c r="L369" s="423">
        <f>O369/5</f>
        <v>274.87139999999999</v>
      </c>
      <c r="M369" s="423">
        <v>0</v>
      </c>
      <c r="N369" s="444">
        <v>39448</v>
      </c>
      <c r="O369" s="506">
        <v>1374.357</v>
      </c>
      <c r="P369" s="445" t="s">
        <v>1314</v>
      </c>
      <c r="Q369" s="422">
        <f>1217.213</f>
        <v>1217.213</v>
      </c>
      <c r="R369" s="425"/>
      <c r="S369" s="425"/>
      <c r="T369" s="733">
        <v>41171</v>
      </c>
      <c r="U369" s="733">
        <v>41060</v>
      </c>
      <c r="V369" s="425">
        <v>1213.9525939726027</v>
      </c>
      <c r="W369" s="400">
        <f t="shared" si="21"/>
        <v>1.0026857770588287</v>
      </c>
      <c r="X369" s="445" t="s">
        <v>1314</v>
      </c>
      <c r="Y369" s="445" t="s">
        <v>4076</v>
      </c>
      <c r="Z369" s="445" t="s">
        <v>908</v>
      </c>
      <c r="AA369" s="444">
        <v>41137</v>
      </c>
      <c r="AB369" s="733"/>
      <c r="AC369" s="444">
        <v>40984</v>
      </c>
      <c r="AD369" s="444">
        <v>41039</v>
      </c>
      <c r="AE369" s="444"/>
      <c r="AF369" s="444"/>
      <c r="AG369" s="419"/>
      <c r="AH369" s="419"/>
      <c r="AI369" s="425"/>
      <c r="AJ369" s="1011"/>
      <c r="AK369" s="419"/>
      <c r="AL369" s="419"/>
      <c r="AM369" s="419"/>
      <c r="AN369" s="419"/>
      <c r="AO369" s="532"/>
      <c r="AP369" s="463"/>
      <c r="AQ369" s="466"/>
      <c r="AR369" s="474"/>
      <c r="AS369" s="474"/>
      <c r="AT369" s="474"/>
      <c r="AU369" s="474"/>
      <c r="AV369" s="474"/>
    </row>
    <row r="370" spans="1:48" s="489" customFormat="1" ht="28.5" customHeight="1">
      <c r="A370" s="491" t="s">
        <v>3554</v>
      </c>
      <c r="B370" s="467" t="s">
        <v>3564</v>
      </c>
      <c r="C370" s="445" t="s">
        <v>3563</v>
      </c>
      <c r="D370" s="428" t="s">
        <v>1176</v>
      </c>
      <c r="E370" s="419" t="s">
        <v>3602</v>
      </c>
      <c r="F370" s="419">
        <v>1</v>
      </c>
      <c r="G370" s="419"/>
      <c r="H370" s="448" t="s">
        <v>968</v>
      </c>
      <c r="I370" s="471" t="s">
        <v>1548</v>
      </c>
      <c r="J370" s="504" t="s">
        <v>886</v>
      </c>
      <c r="K370" s="533" t="s">
        <v>2001</v>
      </c>
      <c r="L370" s="425">
        <v>777.85699999999997</v>
      </c>
      <c r="M370" s="423">
        <v>0</v>
      </c>
      <c r="N370" s="444">
        <v>40180</v>
      </c>
      <c r="O370" s="506">
        <v>2333.5709999999999</v>
      </c>
      <c r="P370" s="513" t="s">
        <v>728</v>
      </c>
      <c r="Q370" s="422">
        <f>1636.666+698.368</f>
        <v>2335.0340000000001</v>
      </c>
      <c r="R370" s="419"/>
      <c r="S370" s="419"/>
      <c r="T370" s="733">
        <v>41176</v>
      </c>
      <c r="U370" s="733">
        <v>41274</v>
      </c>
      <c r="V370" s="425">
        <v>2331.4398849315066</v>
      </c>
      <c r="W370" s="400">
        <f t="shared" si="21"/>
        <v>1.0015415859922971</v>
      </c>
      <c r="X370" s="448" t="s">
        <v>728</v>
      </c>
      <c r="Y370" s="419" t="s">
        <v>3195</v>
      </c>
      <c r="Z370" s="419" t="s">
        <v>3450</v>
      </c>
      <c r="AA370" s="496">
        <v>41221</v>
      </c>
      <c r="AB370" s="550"/>
      <c r="AC370" s="444">
        <v>41045</v>
      </c>
      <c r="AD370" s="444">
        <v>41003</v>
      </c>
      <c r="AE370" s="444"/>
      <c r="AF370" s="444"/>
      <c r="AG370" s="423"/>
      <c r="AH370" s="423">
        <v>0</v>
      </c>
      <c r="AI370" s="425"/>
      <c r="AJ370" s="953"/>
      <c r="AK370" s="423"/>
      <c r="AL370" s="423"/>
      <c r="AM370" s="423"/>
      <c r="AN370" s="423"/>
      <c r="AO370" s="419"/>
      <c r="AP370" s="463"/>
      <c r="AQ370" s="782"/>
      <c r="AR370" s="474"/>
      <c r="AS370" s="474"/>
      <c r="AT370" s="474"/>
      <c r="AU370" s="474"/>
      <c r="AV370" s="474"/>
    </row>
    <row r="371" spans="1:48" s="489" customFormat="1" ht="27" customHeight="1">
      <c r="A371" s="491" t="s">
        <v>3531</v>
      </c>
      <c r="B371" s="467" t="s">
        <v>3569</v>
      </c>
      <c r="C371" s="445" t="s">
        <v>3559</v>
      </c>
      <c r="D371" s="428" t="s">
        <v>1176</v>
      </c>
      <c r="E371" s="419" t="s">
        <v>357</v>
      </c>
      <c r="F371" s="419">
        <v>1</v>
      </c>
      <c r="G371" s="419"/>
      <c r="H371" s="448" t="s">
        <v>968</v>
      </c>
      <c r="I371" s="455" t="s">
        <v>1082</v>
      </c>
      <c r="J371" s="552" t="s">
        <v>3558</v>
      </c>
      <c r="K371" s="533" t="s">
        <v>2001</v>
      </c>
      <c r="L371" s="425">
        <v>20.356000000000002</v>
      </c>
      <c r="M371" s="423">
        <v>20</v>
      </c>
      <c r="N371" s="444">
        <v>39589</v>
      </c>
      <c r="O371" s="506">
        <v>101.779</v>
      </c>
      <c r="P371" s="513" t="s">
        <v>728</v>
      </c>
      <c r="Q371" s="422">
        <f>87.92</f>
        <v>87.92</v>
      </c>
      <c r="R371" s="419"/>
      <c r="S371" s="419"/>
      <c r="T371" s="733">
        <v>41318</v>
      </c>
      <c r="U371" s="733">
        <v>41274</v>
      </c>
      <c r="V371" s="425">
        <v>76.265332332520202</v>
      </c>
      <c r="W371" s="400">
        <f t="shared" si="21"/>
        <v>1.1528173720749677</v>
      </c>
      <c r="X371" s="448" t="s">
        <v>728</v>
      </c>
      <c r="Y371" s="419" t="s">
        <v>3195</v>
      </c>
      <c r="Z371" s="419" t="s">
        <v>2304</v>
      </c>
      <c r="AA371" s="496">
        <v>41220</v>
      </c>
      <c r="AB371" s="550"/>
      <c r="AC371" s="444">
        <v>40980</v>
      </c>
      <c r="AD371" s="444">
        <v>40437</v>
      </c>
      <c r="AE371" s="444"/>
      <c r="AF371" s="444"/>
      <c r="AG371" s="423"/>
      <c r="AH371" s="423">
        <v>0</v>
      </c>
      <c r="AI371" s="425"/>
      <c r="AJ371" s="873">
        <f>(7+2.33)/Exch!B11</f>
        <v>11.049878178942176</v>
      </c>
      <c r="AK371" s="423">
        <f>AJ371*1000/L371</f>
        <v>542.83150810287748</v>
      </c>
      <c r="AL371" s="423"/>
      <c r="AM371" s="423"/>
      <c r="AN371" s="423"/>
      <c r="AO371" s="419"/>
      <c r="AP371" s="463"/>
      <c r="AQ371" s="782"/>
      <c r="AR371" s="474"/>
      <c r="AS371" s="474"/>
      <c r="AT371" s="474"/>
      <c r="AU371" s="474"/>
      <c r="AV371" s="474"/>
    </row>
    <row r="372" spans="1:48" s="489" customFormat="1" ht="12.75" customHeight="1">
      <c r="A372" s="459" t="s">
        <v>1333</v>
      </c>
      <c r="B372" s="51" t="s">
        <v>3964</v>
      </c>
      <c r="C372" s="419" t="s">
        <v>1516</v>
      </c>
      <c r="D372" s="428" t="s">
        <v>1176</v>
      </c>
      <c r="E372" s="445" t="s">
        <v>3064</v>
      </c>
      <c r="F372" s="419">
        <v>1</v>
      </c>
      <c r="G372" s="445" t="s">
        <v>3340</v>
      </c>
      <c r="H372" s="404" t="s">
        <v>968</v>
      </c>
      <c r="I372" s="471" t="s">
        <v>1736</v>
      </c>
      <c r="J372" s="420" t="s">
        <v>614</v>
      </c>
      <c r="K372" s="448" t="s">
        <v>868</v>
      </c>
      <c r="L372" s="425">
        <f>O372/5</f>
        <v>70.811000000000007</v>
      </c>
      <c r="M372" s="423">
        <v>0</v>
      </c>
      <c r="N372" s="444">
        <v>39448</v>
      </c>
      <c r="O372" s="506">
        <v>354.05500000000001</v>
      </c>
      <c r="P372" s="419" t="s">
        <v>1731</v>
      </c>
      <c r="Q372" s="422">
        <f>245.048+27.119</f>
        <v>272.16700000000003</v>
      </c>
      <c r="R372" s="419"/>
      <c r="S372" s="419"/>
      <c r="T372" s="733">
        <v>41271</v>
      </c>
      <c r="U372" s="733">
        <v>41274</v>
      </c>
      <c r="V372" s="425">
        <v>354.24900273972605</v>
      </c>
      <c r="W372" s="400">
        <f t="shared" si="21"/>
        <v>0.76829291796190791</v>
      </c>
      <c r="X372" s="448" t="s">
        <v>728</v>
      </c>
      <c r="Y372" s="445" t="s">
        <v>269</v>
      </c>
      <c r="Z372" s="419" t="s">
        <v>867</v>
      </c>
      <c r="AA372" s="439">
        <v>39074</v>
      </c>
      <c r="AB372" s="733">
        <v>41155</v>
      </c>
      <c r="AC372" s="444">
        <v>41045</v>
      </c>
      <c r="AD372" s="444">
        <v>39066</v>
      </c>
      <c r="AE372" s="444"/>
      <c r="AF372" s="444"/>
      <c r="AG372" s="423"/>
      <c r="AH372" s="423">
        <v>0</v>
      </c>
      <c r="AI372" s="425"/>
      <c r="AJ372" s="953"/>
      <c r="AK372" s="423"/>
      <c r="AL372" s="423"/>
      <c r="AM372" s="423"/>
      <c r="AN372" s="423"/>
      <c r="AO372" s="480" t="s">
        <v>866</v>
      </c>
      <c r="AP372" s="463"/>
      <c r="AQ372" s="51"/>
      <c r="AR372" s="474"/>
      <c r="AS372" s="474"/>
      <c r="AT372" s="474"/>
      <c r="AU372" s="474"/>
      <c r="AV372" s="851"/>
    </row>
    <row r="373" spans="1:48" s="489" customFormat="1" ht="12.75" customHeight="1">
      <c r="A373" s="459" t="s">
        <v>45</v>
      </c>
      <c r="B373" s="467" t="s">
        <v>3701</v>
      </c>
      <c r="C373" s="445" t="s">
        <v>3624</v>
      </c>
      <c r="D373" s="428" t="s">
        <v>1176</v>
      </c>
      <c r="E373" s="419" t="s">
        <v>1117</v>
      </c>
      <c r="F373" s="419">
        <v>1</v>
      </c>
      <c r="G373" s="493" t="s">
        <v>3627</v>
      </c>
      <c r="H373" s="549" t="s">
        <v>968</v>
      </c>
      <c r="I373" s="471" t="s">
        <v>911</v>
      </c>
      <c r="J373" s="1014" t="s">
        <v>611</v>
      </c>
      <c r="K373" s="455" t="s">
        <v>2001</v>
      </c>
      <c r="L373" s="425">
        <f>O373/5</f>
        <v>102.9452</v>
      </c>
      <c r="M373" s="423">
        <v>0</v>
      </c>
      <c r="N373" s="444">
        <v>39448</v>
      </c>
      <c r="O373" s="506">
        <v>514.726</v>
      </c>
      <c r="P373" s="513" t="s">
        <v>728</v>
      </c>
      <c r="Q373" s="422">
        <f>574.038</f>
        <v>574.03800000000001</v>
      </c>
      <c r="R373" s="419"/>
      <c r="S373" s="419"/>
      <c r="T373" s="733">
        <v>41180</v>
      </c>
      <c r="U373" s="733">
        <v>41121</v>
      </c>
      <c r="V373" s="425">
        <v>471.8556701369863</v>
      </c>
      <c r="W373" s="400">
        <f t="shared" si="21"/>
        <v>1.2165542057242815</v>
      </c>
      <c r="X373" s="448" t="s">
        <v>728</v>
      </c>
      <c r="Y373" s="507" t="s">
        <v>3625</v>
      </c>
      <c r="Z373" s="507" t="s">
        <v>3626</v>
      </c>
      <c r="AA373" s="1006">
        <v>40149</v>
      </c>
      <c r="AB373" s="550">
        <v>41240</v>
      </c>
      <c r="AC373" s="444">
        <v>41045</v>
      </c>
      <c r="AD373" s="444">
        <v>40240</v>
      </c>
      <c r="AE373" s="444"/>
      <c r="AF373" s="444"/>
      <c r="AG373" s="423"/>
      <c r="AH373" s="423">
        <v>0</v>
      </c>
      <c r="AI373" s="425"/>
      <c r="AJ373" s="953"/>
      <c r="AK373" s="423"/>
      <c r="AL373" s="423"/>
      <c r="AM373" s="423"/>
      <c r="AN373" s="423"/>
      <c r="AO373" s="419"/>
      <c r="AP373" s="463"/>
      <c r="AQ373" s="782"/>
      <c r="AR373" s="62"/>
      <c r="AS373" s="62"/>
      <c r="AT373" s="62"/>
      <c r="AU373" s="62"/>
      <c r="AV373" s="62"/>
    </row>
    <row r="374" spans="1:48" s="489" customFormat="1" ht="12.75" customHeight="1">
      <c r="A374" s="491" t="s">
        <v>3232</v>
      </c>
      <c r="B374" s="467" t="s">
        <v>3716</v>
      </c>
      <c r="C374" s="445" t="s">
        <v>3206</v>
      </c>
      <c r="D374" s="462" t="s">
        <v>1176</v>
      </c>
      <c r="E374" s="445" t="s">
        <v>471</v>
      </c>
      <c r="F374" s="419">
        <v>1</v>
      </c>
      <c r="G374" s="548"/>
      <c r="H374" s="549" t="s">
        <v>968</v>
      </c>
      <c r="I374" s="455" t="s">
        <v>1586</v>
      </c>
      <c r="J374" s="445" t="s">
        <v>1586</v>
      </c>
      <c r="K374" s="533" t="s">
        <v>2001</v>
      </c>
      <c r="L374" s="423">
        <f>O374/5</f>
        <v>353.77879999999999</v>
      </c>
      <c r="M374" s="423">
        <v>0</v>
      </c>
      <c r="N374" s="444">
        <v>39448</v>
      </c>
      <c r="O374" s="506">
        <v>1768.894</v>
      </c>
      <c r="P374" s="513" t="s">
        <v>728</v>
      </c>
      <c r="Q374" s="422">
        <v>4557.4979999999996</v>
      </c>
      <c r="R374" s="425"/>
      <c r="S374" s="425"/>
      <c r="T374" s="733">
        <v>41211</v>
      </c>
      <c r="U374" s="733">
        <v>41090</v>
      </c>
      <c r="V374" s="425">
        <v>1591.5199715068495</v>
      </c>
      <c r="W374" s="400">
        <f t="shared" si="21"/>
        <v>2.8636134522930083</v>
      </c>
      <c r="X374" s="448" t="s">
        <v>1314</v>
      </c>
      <c r="Y374" s="445" t="s">
        <v>3817</v>
      </c>
      <c r="Z374" s="445" t="s">
        <v>3207</v>
      </c>
      <c r="AA374" s="444">
        <v>41100</v>
      </c>
      <c r="AB374" s="733"/>
      <c r="AC374" s="444">
        <v>41045</v>
      </c>
      <c r="AD374" s="444">
        <v>41025</v>
      </c>
      <c r="AE374" s="444"/>
      <c r="AF374" s="444"/>
      <c r="AG374" s="419"/>
      <c r="AH374" s="419">
        <v>0</v>
      </c>
      <c r="AI374" s="425"/>
      <c r="AJ374" s="548"/>
      <c r="AK374" s="419"/>
      <c r="AL374" s="419"/>
      <c r="AM374" s="419"/>
      <c r="AN374" s="419"/>
      <c r="AO374" s="532"/>
      <c r="AP374" s="463"/>
      <c r="AQ374" s="466"/>
      <c r="AR374" s="474"/>
      <c r="AS374" s="474"/>
      <c r="AT374" s="474"/>
      <c r="AU374" s="474"/>
      <c r="AV374" s="474"/>
    </row>
    <row r="375" spans="1:48" s="489" customFormat="1" ht="15" customHeight="1">
      <c r="A375" s="491" t="s">
        <v>3680</v>
      </c>
      <c r="B375" s="467" t="s">
        <v>3717</v>
      </c>
      <c r="C375" s="445" t="s">
        <v>3692</v>
      </c>
      <c r="D375" s="428" t="s">
        <v>1176</v>
      </c>
      <c r="E375" s="419" t="s">
        <v>184</v>
      </c>
      <c r="F375" s="419">
        <v>1</v>
      </c>
      <c r="G375" s="419"/>
      <c r="H375" s="549" t="s">
        <v>968</v>
      </c>
      <c r="I375" s="455" t="s">
        <v>1467</v>
      </c>
      <c r="J375" s="419" t="s">
        <v>2128</v>
      </c>
      <c r="K375" s="455" t="s">
        <v>1767</v>
      </c>
      <c r="L375" s="425">
        <v>219.52099999999999</v>
      </c>
      <c r="M375" s="423">
        <v>50</v>
      </c>
      <c r="N375" s="444">
        <v>39783</v>
      </c>
      <c r="O375" s="506">
        <v>1097.604</v>
      </c>
      <c r="P375" s="513" t="s">
        <v>728</v>
      </c>
      <c r="Q375" s="422">
        <f>1024.014</f>
        <v>1024.0139999999999</v>
      </c>
      <c r="R375" s="419"/>
      <c r="S375" s="419"/>
      <c r="T375" s="733">
        <v>41222</v>
      </c>
      <c r="U375" s="733">
        <v>41060</v>
      </c>
      <c r="V375" s="425">
        <v>636.70434006380185</v>
      </c>
      <c r="W375" s="400">
        <f t="shared" si="21"/>
        <v>1.608303784920623</v>
      </c>
      <c r="X375" s="448" t="s">
        <v>728</v>
      </c>
      <c r="Y375" s="391" t="s">
        <v>2188</v>
      </c>
      <c r="Z375" s="445" t="s">
        <v>3693</v>
      </c>
      <c r="AA375" s="496">
        <v>41250</v>
      </c>
      <c r="AB375" s="550"/>
      <c r="AC375" s="444">
        <v>41045</v>
      </c>
      <c r="AD375" s="444">
        <v>41061</v>
      </c>
      <c r="AE375" s="444"/>
      <c r="AF375" s="444"/>
      <c r="AG375" s="423"/>
      <c r="AH375" s="423">
        <v>0</v>
      </c>
      <c r="AI375" s="425"/>
      <c r="AJ375" s="873">
        <f>607.425/31.13</f>
        <v>19.512528107934468</v>
      </c>
      <c r="AK375" s="423">
        <f>AJ375*1000/L375</f>
        <v>88.886840475100186</v>
      </c>
      <c r="AL375" s="423"/>
      <c r="AM375" s="423"/>
      <c r="AN375" s="423"/>
      <c r="AO375" s="419"/>
      <c r="AP375" s="463"/>
      <c r="AQ375" s="782"/>
      <c r="AR375" s="474"/>
      <c r="AS375" s="474"/>
      <c r="AT375" s="474"/>
      <c r="AU375" s="474"/>
      <c r="AV375" s="474"/>
    </row>
    <row r="376" spans="1:48" s="489" customFormat="1" ht="12.75" customHeight="1">
      <c r="A376" s="491" t="s">
        <v>3617</v>
      </c>
      <c r="B376" s="467" t="s">
        <v>3722</v>
      </c>
      <c r="C376" s="445" t="s">
        <v>3614</v>
      </c>
      <c r="D376" s="428" t="s">
        <v>1176</v>
      </c>
      <c r="E376" s="419" t="s">
        <v>1540</v>
      </c>
      <c r="F376" s="419">
        <v>1</v>
      </c>
      <c r="G376" s="548"/>
      <c r="H376" s="549" t="s">
        <v>968</v>
      </c>
      <c r="I376" s="455" t="s">
        <v>3238</v>
      </c>
      <c r="J376" s="419" t="s">
        <v>1943</v>
      </c>
      <c r="K376" s="455" t="s">
        <v>2001</v>
      </c>
      <c r="L376" s="425">
        <v>23.158999999999999</v>
      </c>
      <c r="M376" s="423">
        <v>5</v>
      </c>
      <c r="N376" s="444">
        <v>39873</v>
      </c>
      <c r="O376" s="506">
        <v>92.637</v>
      </c>
      <c r="P376" s="513" t="s">
        <v>728</v>
      </c>
      <c r="Q376" s="422">
        <f>92.169</f>
        <v>92.168999999999997</v>
      </c>
      <c r="R376" s="419"/>
      <c r="S376" s="419"/>
      <c r="T376" s="733">
        <v>41348</v>
      </c>
      <c r="U376" s="733">
        <v>41274</v>
      </c>
      <c r="V376" s="425">
        <v>77.745483467817593</v>
      </c>
      <c r="W376" s="400">
        <f t="shared" si="21"/>
        <v>1.1855222437217585</v>
      </c>
      <c r="X376" s="448" t="s">
        <v>728</v>
      </c>
      <c r="Y376" s="507" t="s">
        <v>4077</v>
      </c>
      <c r="Z376" s="532" t="s">
        <v>908</v>
      </c>
      <c r="AA376" s="496">
        <v>41240</v>
      </c>
      <c r="AB376" s="550"/>
      <c r="AC376" s="444">
        <v>41045</v>
      </c>
      <c r="AD376" s="444">
        <v>40521</v>
      </c>
      <c r="AE376" s="444"/>
      <c r="AF376" s="444"/>
      <c r="AG376" s="423"/>
      <c r="AH376" s="423">
        <f>2*10</f>
        <v>20</v>
      </c>
      <c r="AI376" s="425">
        <f>(70000+81000)/AH376</f>
        <v>7550</v>
      </c>
      <c r="AJ376" s="953"/>
      <c r="AK376" s="423"/>
      <c r="AL376" s="423"/>
      <c r="AM376" s="423"/>
      <c r="AN376" s="423"/>
      <c r="AO376" s="419"/>
      <c r="AP376" s="463"/>
      <c r="AQ376" s="782"/>
      <c r="AR376" s="474"/>
      <c r="AS376" s="474"/>
      <c r="AT376" s="474"/>
      <c r="AU376" s="474"/>
      <c r="AV376" s="474"/>
    </row>
    <row r="377" spans="1:48" s="489" customFormat="1" ht="12.75" customHeight="1">
      <c r="A377" s="491" t="s">
        <v>3530</v>
      </c>
      <c r="B377" s="467" t="s">
        <v>3723</v>
      </c>
      <c r="C377" s="445" t="s">
        <v>3535</v>
      </c>
      <c r="D377" s="428" t="s">
        <v>1176</v>
      </c>
      <c r="E377" s="419" t="s">
        <v>357</v>
      </c>
      <c r="F377" s="419">
        <v>1</v>
      </c>
      <c r="G377" s="548"/>
      <c r="H377" s="549" t="s">
        <v>968</v>
      </c>
      <c r="I377" s="471" t="s">
        <v>1548</v>
      </c>
      <c r="J377" s="726" t="s">
        <v>886</v>
      </c>
      <c r="K377" s="533" t="s">
        <v>2001</v>
      </c>
      <c r="L377" s="425">
        <f>O377/5</f>
        <v>323.0222</v>
      </c>
      <c r="M377" s="423">
        <v>0</v>
      </c>
      <c r="N377" s="444">
        <v>39814</v>
      </c>
      <c r="O377" s="506">
        <v>1615.1110000000001</v>
      </c>
      <c r="P377" s="513" t="s">
        <v>728</v>
      </c>
      <c r="Q377" s="422"/>
      <c r="R377" s="419"/>
      <c r="S377" s="419"/>
      <c r="T377" s="733"/>
      <c r="U377" s="733"/>
      <c r="V377" s="425"/>
      <c r="W377" s="427"/>
      <c r="X377" s="448"/>
      <c r="Y377" s="419" t="s">
        <v>3408</v>
      </c>
      <c r="Z377" s="419" t="s">
        <v>2304</v>
      </c>
      <c r="AA377" s="496">
        <v>41220</v>
      </c>
      <c r="AB377" s="550"/>
      <c r="AC377" s="444">
        <v>41029</v>
      </c>
      <c r="AD377" s="444">
        <v>40939</v>
      </c>
      <c r="AE377" s="444"/>
      <c r="AF377" s="444"/>
      <c r="AG377" s="423"/>
      <c r="AH377" s="423">
        <v>0</v>
      </c>
      <c r="AI377" s="425"/>
      <c r="AJ377" s="953"/>
      <c r="AK377" s="423"/>
      <c r="AL377" s="423"/>
      <c r="AM377" s="423"/>
      <c r="AN377" s="423"/>
      <c r="AO377" s="419"/>
      <c r="AP377" s="463"/>
      <c r="AQ377" s="782"/>
      <c r="AR377" s="851"/>
      <c r="AS377" s="851"/>
      <c r="AT377" s="851"/>
      <c r="AU377" s="851"/>
      <c r="AV377" s="474"/>
    </row>
    <row r="378" spans="1:48" s="489" customFormat="1" ht="12.75" customHeight="1">
      <c r="A378" s="459" t="s">
        <v>858</v>
      </c>
      <c r="B378" s="466">
        <v>3</v>
      </c>
      <c r="C378" s="51" t="s">
        <v>1323</v>
      </c>
      <c r="D378" s="63" t="s">
        <v>1176</v>
      </c>
      <c r="E378" s="51"/>
      <c r="F378" s="51">
        <v>2</v>
      </c>
      <c r="G378" s="459"/>
      <c r="H378" s="1032" t="s">
        <v>1712</v>
      </c>
      <c r="I378" s="68" t="s">
        <v>1548</v>
      </c>
      <c r="J378" s="51" t="s">
        <v>235</v>
      </c>
      <c r="K378" s="796" t="s">
        <v>2001</v>
      </c>
      <c r="L378" s="361">
        <v>897.048</v>
      </c>
      <c r="M378" s="92"/>
      <c r="N378" s="122">
        <v>39448</v>
      </c>
      <c r="O378" s="943">
        <f>L378*5</f>
        <v>4485.24</v>
      </c>
      <c r="P378" s="51" t="s">
        <v>1731</v>
      </c>
      <c r="Q378" s="888"/>
      <c r="R378" s="51"/>
      <c r="S378" s="51"/>
      <c r="T378" s="757"/>
      <c r="U378" s="757"/>
      <c r="V378" s="361"/>
      <c r="W378" s="382"/>
      <c r="X378" s="56"/>
      <c r="Y378" s="51" t="s">
        <v>1084</v>
      </c>
      <c r="Z378" s="51" t="s">
        <v>1319</v>
      </c>
      <c r="AA378" s="122">
        <v>39022</v>
      </c>
      <c r="AB378" s="757"/>
      <c r="AC378" s="122"/>
      <c r="AD378" s="122"/>
      <c r="AE378" s="122"/>
      <c r="AF378" s="122"/>
      <c r="AG378" s="443"/>
      <c r="AH378" s="443"/>
      <c r="AI378" s="779"/>
      <c r="AJ378" s="1049"/>
      <c r="AK378" s="443"/>
      <c r="AL378" s="443"/>
      <c r="AM378" s="443"/>
      <c r="AN378" s="443"/>
      <c r="AO378" s="51"/>
      <c r="AP378" s="463"/>
      <c r="AQ378" s="51"/>
    </row>
    <row r="379" spans="1:48" s="489" customFormat="1" ht="12.75" customHeight="1">
      <c r="A379" s="459" t="s">
        <v>353</v>
      </c>
      <c r="B379" s="51">
        <v>4</v>
      </c>
      <c r="C379" s="291" t="s">
        <v>359</v>
      </c>
      <c r="D379" s="63" t="s">
        <v>1176</v>
      </c>
      <c r="E379" s="51"/>
      <c r="F379" s="51">
        <v>2</v>
      </c>
      <c r="G379" s="459"/>
      <c r="H379" s="1032" t="s">
        <v>1712</v>
      </c>
      <c r="I379" s="68" t="s">
        <v>1548</v>
      </c>
      <c r="J379" s="51" t="s">
        <v>235</v>
      </c>
      <c r="K379" s="796" t="s">
        <v>2001</v>
      </c>
      <c r="L379" s="361">
        <f>O379/5</f>
        <v>104.819</v>
      </c>
      <c r="M379" s="92"/>
      <c r="N379" s="122">
        <v>39448</v>
      </c>
      <c r="O379" s="943">
        <v>524.09500000000003</v>
      </c>
      <c r="P379" s="51" t="s">
        <v>1731</v>
      </c>
      <c r="Q379" s="888"/>
      <c r="R379" s="51"/>
      <c r="S379" s="51"/>
      <c r="T379" s="757"/>
      <c r="U379" s="757"/>
      <c r="V379" s="361"/>
      <c r="W379" s="382"/>
      <c r="X379" s="56"/>
      <c r="Y379" s="51" t="s">
        <v>1084</v>
      </c>
      <c r="Z379" s="51" t="s">
        <v>360</v>
      </c>
      <c r="AA379" s="1069">
        <v>39025</v>
      </c>
      <c r="AB379" s="1074"/>
      <c r="AC379" s="122"/>
      <c r="AD379" s="122"/>
      <c r="AE379" s="122"/>
      <c r="AF379" s="122"/>
      <c r="AG379" s="92"/>
      <c r="AH379" s="92"/>
      <c r="AI379" s="361"/>
      <c r="AJ379" s="1081"/>
      <c r="AK379" s="92"/>
      <c r="AL379" s="92"/>
      <c r="AM379" s="92"/>
      <c r="AN379" s="92"/>
      <c r="AO379" s="51"/>
      <c r="AP379" s="463"/>
      <c r="AQ379" s="51"/>
    </row>
    <row r="380" spans="1:48" s="489" customFormat="1" ht="12.75" customHeight="1">
      <c r="A380" s="459" t="s">
        <v>275</v>
      </c>
      <c r="B380" s="51">
        <v>12</v>
      </c>
      <c r="C380" s="51" t="s">
        <v>871</v>
      </c>
      <c r="D380" s="63" t="s">
        <v>1176</v>
      </c>
      <c r="E380" s="51"/>
      <c r="F380" s="51">
        <v>2</v>
      </c>
      <c r="G380" s="459"/>
      <c r="H380" s="1032" t="s">
        <v>1712</v>
      </c>
      <c r="I380" s="68" t="s">
        <v>1735</v>
      </c>
      <c r="J380" s="51"/>
      <c r="K380" s="56" t="s">
        <v>680</v>
      </c>
      <c r="L380" s="361">
        <f>4398.916/5</f>
        <v>879.78320000000008</v>
      </c>
      <c r="M380" s="92"/>
      <c r="N380" s="122">
        <v>39448</v>
      </c>
      <c r="O380" s="943">
        <f>L380*5</f>
        <v>4398.9160000000002</v>
      </c>
      <c r="P380" s="51" t="s">
        <v>1732</v>
      </c>
      <c r="Q380" s="888"/>
      <c r="R380" s="51"/>
      <c r="S380" s="51"/>
      <c r="T380" s="757"/>
      <c r="U380" s="757"/>
      <c r="V380" s="361"/>
      <c r="W380" s="382"/>
      <c r="X380" s="56"/>
      <c r="Y380" s="51" t="s">
        <v>2479</v>
      </c>
      <c r="Z380" s="51" t="s">
        <v>1730</v>
      </c>
      <c r="AA380" s="122">
        <v>39046</v>
      </c>
      <c r="AB380" s="459"/>
      <c r="AC380" s="122"/>
      <c r="AD380" s="122"/>
      <c r="AE380" s="122"/>
      <c r="AF380" s="122"/>
      <c r="AG380" s="92"/>
      <c r="AH380" s="92"/>
      <c r="AI380" s="361"/>
      <c r="AJ380" s="1081"/>
      <c r="AK380" s="92"/>
      <c r="AL380" s="92"/>
      <c r="AM380" s="92"/>
      <c r="AN380" s="92"/>
      <c r="AO380" s="51"/>
      <c r="AP380" s="463"/>
      <c r="AQ380" s="51"/>
      <c r="AR380" s="474"/>
      <c r="AS380" s="474"/>
      <c r="AT380" s="474"/>
      <c r="AU380" s="474"/>
      <c r="AV380" s="474"/>
    </row>
    <row r="381" spans="1:48" s="489" customFormat="1" ht="12.75" customHeight="1">
      <c r="A381" s="459" t="s">
        <v>286</v>
      </c>
      <c r="B381" s="51">
        <v>13</v>
      </c>
      <c r="C381" s="51" t="s">
        <v>872</v>
      </c>
      <c r="D381" s="63" t="s">
        <v>1176</v>
      </c>
      <c r="E381" s="51"/>
      <c r="F381" s="51">
        <v>2</v>
      </c>
      <c r="G381" s="459"/>
      <c r="H381" s="1032" t="s">
        <v>1712</v>
      </c>
      <c r="I381" s="68" t="s">
        <v>1467</v>
      </c>
      <c r="J381" s="54"/>
      <c r="K381" s="56" t="s">
        <v>261</v>
      </c>
      <c r="L381" s="361">
        <f>288.55/5</f>
        <v>57.71</v>
      </c>
      <c r="M381" s="92"/>
      <c r="N381" s="122">
        <v>39448</v>
      </c>
      <c r="O381" s="943">
        <f>5*L381</f>
        <v>288.55</v>
      </c>
      <c r="P381" s="51" t="s">
        <v>1732</v>
      </c>
      <c r="Q381" s="888"/>
      <c r="R381" s="51"/>
      <c r="S381" s="51"/>
      <c r="T381" s="757"/>
      <c r="U381" s="757"/>
      <c r="V381" s="361"/>
      <c r="W381" s="382"/>
      <c r="X381" s="56"/>
      <c r="Y381" s="51" t="s">
        <v>2479</v>
      </c>
      <c r="Z381" s="51" t="s">
        <v>1730</v>
      </c>
      <c r="AA381" s="752">
        <v>39046</v>
      </c>
      <c r="AB381" s="758"/>
      <c r="AC381" s="122"/>
      <c r="AD381" s="122"/>
      <c r="AE381" s="122"/>
      <c r="AF381" s="122"/>
      <c r="AG381" s="92"/>
      <c r="AH381" s="92"/>
      <c r="AI381" s="361"/>
      <c r="AJ381" s="1081"/>
      <c r="AK381" s="92"/>
      <c r="AL381" s="92"/>
      <c r="AM381" s="92"/>
      <c r="AN381" s="92"/>
      <c r="AO381" s="51"/>
      <c r="AP381" s="463"/>
      <c r="AQ381" s="51"/>
      <c r="AR381" s="474"/>
      <c r="AS381" s="474"/>
      <c r="AT381" s="474"/>
      <c r="AU381" s="474"/>
      <c r="AV381" s="474"/>
    </row>
    <row r="382" spans="1:48" s="489" customFormat="1" ht="12.75" customHeight="1">
      <c r="A382" s="459" t="s">
        <v>958</v>
      </c>
      <c r="B382" s="51">
        <v>14</v>
      </c>
      <c r="C382" s="51" t="s">
        <v>351</v>
      </c>
      <c r="D382" s="63" t="s">
        <v>1176</v>
      </c>
      <c r="E382" s="51"/>
      <c r="F382" s="51">
        <v>2</v>
      </c>
      <c r="G382" s="459"/>
      <c r="H382" s="1032" t="s">
        <v>1712</v>
      </c>
      <c r="I382" s="68" t="s">
        <v>1548</v>
      </c>
      <c r="J382" s="51" t="s">
        <v>235</v>
      </c>
      <c r="K382" s="56" t="s">
        <v>746</v>
      </c>
      <c r="L382" s="361">
        <v>240</v>
      </c>
      <c r="M382" s="92"/>
      <c r="N382" s="122">
        <v>39448</v>
      </c>
      <c r="O382" s="943">
        <f>L382*5</f>
        <v>1200</v>
      </c>
      <c r="P382" s="51" t="s">
        <v>1731</v>
      </c>
      <c r="Q382" s="888"/>
      <c r="R382" s="51"/>
      <c r="S382" s="51"/>
      <c r="T382" s="757"/>
      <c r="U382" s="757"/>
      <c r="V382" s="361"/>
      <c r="W382" s="382"/>
      <c r="X382" s="56"/>
      <c r="Y382" s="51" t="s">
        <v>547</v>
      </c>
      <c r="Z382" s="51" t="s">
        <v>836</v>
      </c>
      <c r="AA382" s="122">
        <v>39060</v>
      </c>
      <c r="AB382" s="757"/>
      <c r="AC382" s="122"/>
      <c r="AD382" s="122"/>
      <c r="AE382" s="122"/>
      <c r="AF382" s="122"/>
      <c r="AG382" s="92"/>
      <c r="AH382" s="92"/>
      <c r="AI382" s="361"/>
      <c r="AJ382" s="1081"/>
      <c r="AK382" s="92"/>
      <c r="AL382" s="92"/>
      <c r="AM382" s="92"/>
      <c r="AN382" s="92"/>
      <c r="AO382" s="51"/>
      <c r="AP382" s="530" t="s">
        <v>289</v>
      </c>
      <c r="AQ382" s="51"/>
      <c r="AR382" s="474"/>
      <c r="AS382" s="474"/>
      <c r="AT382" s="474"/>
      <c r="AU382" s="474"/>
      <c r="AV382" s="474"/>
    </row>
    <row r="383" spans="1:48" s="489" customFormat="1" ht="12.75" customHeight="1">
      <c r="A383" s="459" t="s">
        <v>287</v>
      </c>
      <c r="B383" s="51">
        <v>15</v>
      </c>
      <c r="C383" s="51" t="s">
        <v>387</v>
      </c>
      <c r="D383" s="63" t="s">
        <v>1176</v>
      </c>
      <c r="E383" s="51"/>
      <c r="F383" s="51">
        <v>2</v>
      </c>
      <c r="G383" s="459"/>
      <c r="H383" s="1032" t="s">
        <v>1712</v>
      </c>
      <c r="I383" s="68" t="s">
        <v>1548</v>
      </c>
      <c r="J383" s="51" t="s">
        <v>235</v>
      </c>
      <c r="K383" s="56" t="s">
        <v>746</v>
      </c>
      <c r="L383" s="361">
        <v>791</v>
      </c>
      <c r="M383" s="92"/>
      <c r="N383" s="122">
        <v>39448</v>
      </c>
      <c r="O383" s="943">
        <f>5*L383</f>
        <v>3955</v>
      </c>
      <c r="P383" s="51" t="s">
        <v>1731</v>
      </c>
      <c r="Q383" s="888"/>
      <c r="R383" s="51"/>
      <c r="S383" s="51"/>
      <c r="T383" s="757"/>
      <c r="U383" s="757"/>
      <c r="V383" s="361"/>
      <c r="W383" s="382"/>
      <c r="X383" s="56"/>
      <c r="Y383" s="51" t="s">
        <v>547</v>
      </c>
      <c r="Z383" s="51" t="s">
        <v>836</v>
      </c>
      <c r="AA383" s="752">
        <v>39060</v>
      </c>
      <c r="AB383" s="758"/>
      <c r="AC383" s="122"/>
      <c r="AD383" s="122"/>
      <c r="AE383" s="122"/>
      <c r="AF383" s="122"/>
      <c r="AG383" s="92"/>
      <c r="AH383" s="92"/>
      <c r="AI383" s="361"/>
      <c r="AJ383" s="1081"/>
      <c r="AK383" s="92"/>
      <c r="AL383" s="92"/>
      <c r="AM383" s="92"/>
      <c r="AN383" s="92"/>
      <c r="AO383" s="51"/>
      <c r="AP383" s="530" t="s">
        <v>289</v>
      </c>
      <c r="AQ383" s="51"/>
      <c r="AR383" s="474"/>
      <c r="AS383" s="474"/>
      <c r="AT383" s="474"/>
      <c r="AU383" s="474"/>
      <c r="AV383" s="474"/>
    </row>
    <row r="384" spans="1:48" s="489" customFormat="1" ht="27.75" customHeight="1">
      <c r="A384" s="459" t="s">
        <v>385</v>
      </c>
      <c r="B384" s="51">
        <v>17</v>
      </c>
      <c r="C384" s="51" t="s">
        <v>391</v>
      </c>
      <c r="D384" s="63" t="s">
        <v>1176</v>
      </c>
      <c r="E384" s="51"/>
      <c r="F384" s="51">
        <v>2</v>
      </c>
      <c r="G384" s="459"/>
      <c r="H384" s="56" t="s">
        <v>1712</v>
      </c>
      <c r="I384" s="68" t="s">
        <v>1548</v>
      </c>
      <c r="J384" s="51" t="s">
        <v>235</v>
      </c>
      <c r="K384" s="796" t="s">
        <v>2001</v>
      </c>
      <c r="L384" s="361">
        <v>5000</v>
      </c>
      <c r="M384" s="92"/>
      <c r="N384" s="122">
        <v>39448</v>
      </c>
      <c r="O384" s="943">
        <f>5*L384</f>
        <v>25000</v>
      </c>
      <c r="P384" s="51" t="s">
        <v>1731</v>
      </c>
      <c r="Q384" s="888"/>
      <c r="R384" s="51"/>
      <c r="S384" s="51"/>
      <c r="T384" s="757"/>
      <c r="U384" s="757"/>
      <c r="V384" s="361"/>
      <c r="W384" s="382"/>
      <c r="X384" s="56"/>
      <c r="Y384" s="51" t="s">
        <v>1084</v>
      </c>
      <c r="Z384" s="51" t="s">
        <v>392</v>
      </c>
      <c r="AA384" s="752">
        <v>39070</v>
      </c>
      <c r="AB384" s="758"/>
      <c r="AC384" s="122"/>
      <c r="AD384" s="122"/>
      <c r="AE384" s="122"/>
      <c r="AF384" s="122"/>
      <c r="AG384" s="92"/>
      <c r="AH384" s="92"/>
      <c r="AI384" s="361"/>
      <c r="AJ384" s="1081"/>
      <c r="AK384" s="92"/>
      <c r="AL384" s="1085"/>
      <c r="AM384" s="92"/>
      <c r="AN384" s="92"/>
      <c r="AO384" s="51" t="s">
        <v>393</v>
      </c>
      <c r="AP384" s="463"/>
      <c r="AQ384" s="51"/>
      <c r="AR384" s="474"/>
      <c r="AS384" s="474"/>
      <c r="AT384" s="474"/>
      <c r="AU384" s="474"/>
      <c r="AV384" s="474"/>
    </row>
    <row r="385" spans="1:43" s="489" customFormat="1" ht="12.75" customHeight="1">
      <c r="A385" s="459" t="s">
        <v>386</v>
      </c>
      <c r="B385" s="51">
        <v>19</v>
      </c>
      <c r="C385" s="51" t="s">
        <v>1722</v>
      </c>
      <c r="D385" s="63" t="s">
        <v>1176</v>
      </c>
      <c r="E385" s="51"/>
      <c r="F385" s="51">
        <v>2</v>
      </c>
      <c r="G385" s="51"/>
      <c r="H385" s="1032" t="s">
        <v>1712</v>
      </c>
      <c r="I385" s="68" t="s">
        <v>1548</v>
      </c>
      <c r="J385" s="51" t="s">
        <v>235</v>
      </c>
      <c r="K385" s="56" t="s">
        <v>746</v>
      </c>
      <c r="L385" s="361">
        <v>974.2</v>
      </c>
      <c r="M385" s="92"/>
      <c r="N385" s="122">
        <v>39448</v>
      </c>
      <c r="O385" s="943">
        <f>L385*5</f>
        <v>4871</v>
      </c>
      <c r="P385" s="51" t="s">
        <v>1731</v>
      </c>
      <c r="Q385" s="888"/>
      <c r="R385" s="51"/>
      <c r="S385" s="51"/>
      <c r="T385" s="757"/>
      <c r="U385" s="757"/>
      <c r="V385" s="361"/>
      <c r="W385" s="382"/>
      <c r="X385" s="56"/>
      <c r="Y385" s="51" t="s">
        <v>1084</v>
      </c>
      <c r="Z385" s="51" t="s">
        <v>836</v>
      </c>
      <c r="AA385" s="752">
        <v>39073</v>
      </c>
      <c r="AB385" s="758"/>
      <c r="AC385" s="122"/>
      <c r="AD385" s="122"/>
      <c r="AE385" s="122"/>
      <c r="AF385" s="122"/>
      <c r="AG385" s="92"/>
      <c r="AH385" s="92"/>
      <c r="AI385" s="361"/>
      <c r="AJ385" s="1081"/>
      <c r="AK385" s="92"/>
      <c r="AL385" s="92"/>
      <c r="AM385" s="92"/>
      <c r="AN385" s="92"/>
      <c r="AO385" s="51"/>
      <c r="AP385" s="463"/>
      <c r="AQ385" s="782"/>
    </row>
    <row r="386" spans="1:43" s="489" customFormat="1" ht="12.75" customHeight="1">
      <c r="A386" s="459" t="s">
        <v>1723</v>
      </c>
      <c r="B386" s="51">
        <v>20</v>
      </c>
      <c r="C386" s="51" t="s">
        <v>1515</v>
      </c>
      <c r="D386" s="63" t="s">
        <v>1176</v>
      </c>
      <c r="E386" s="51"/>
      <c r="F386" s="51">
        <v>2</v>
      </c>
      <c r="G386" s="459"/>
      <c r="H386" s="1032" t="s">
        <v>1712</v>
      </c>
      <c r="I386" s="68" t="s">
        <v>1548</v>
      </c>
      <c r="J386" s="51" t="s">
        <v>235</v>
      </c>
      <c r="K386" s="56" t="s">
        <v>746</v>
      </c>
      <c r="L386" s="361">
        <v>364</v>
      </c>
      <c r="M386" s="92"/>
      <c r="N386" s="122">
        <v>39448</v>
      </c>
      <c r="O386" s="943">
        <f>L386*5</f>
        <v>1820</v>
      </c>
      <c r="P386" s="51" t="s">
        <v>1731</v>
      </c>
      <c r="Q386" s="888"/>
      <c r="R386" s="51"/>
      <c r="S386" s="51"/>
      <c r="T386" s="757"/>
      <c r="U386" s="757"/>
      <c r="V386" s="361"/>
      <c r="W386" s="382"/>
      <c r="X386" s="56"/>
      <c r="Y386" s="51" t="s">
        <v>1084</v>
      </c>
      <c r="Z386" s="51" t="s">
        <v>836</v>
      </c>
      <c r="AA386" s="752">
        <v>39073</v>
      </c>
      <c r="AB386" s="758"/>
      <c r="AC386" s="122"/>
      <c r="AD386" s="122"/>
      <c r="AE386" s="122"/>
      <c r="AF386" s="122"/>
      <c r="AG386" s="92"/>
      <c r="AH386" s="92"/>
      <c r="AI386" s="361"/>
      <c r="AJ386" s="1081"/>
      <c r="AK386" s="92"/>
      <c r="AL386" s="92"/>
      <c r="AM386" s="92"/>
      <c r="AN386" s="92"/>
      <c r="AO386" s="51"/>
      <c r="AP386" s="463"/>
      <c r="AQ386" s="51"/>
    </row>
    <row r="387" spans="1:43" s="489" customFormat="1" ht="27.75" customHeight="1">
      <c r="A387" s="459" t="s">
        <v>1724</v>
      </c>
      <c r="B387" s="51">
        <v>22</v>
      </c>
      <c r="C387" s="51" t="s">
        <v>1520</v>
      </c>
      <c r="D387" s="63" t="s">
        <v>1176</v>
      </c>
      <c r="E387" s="51"/>
      <c r="F387" s="51">
        <v>2</v>
      </c>
      <c r="G387" s="459"/>
      <c r="H387" s="1032" t="s">
        <v>1712</v>
      </c>
      <c r="I387" s="68" t="s">
        <v>1588</v>
      </c>
      <c r="J387" s="51"/>
      <c r="K387" s="56" t="s">
        <v>882</v>
      </c>
      <c r="L387" s="361">
        <v>105.361</v>
      </c>
      <c r="M387" s="92"/>
      <c r="N387" s="122">
        <v>39448</v>
      </c>
      <c r="O387" s="943">
        <f>99.668+(105.933*4)</f>
        <v>523.40000000000009</v>
      </c>
      <c r="P387" s="51" t="s">
        <v>1731</v>
      </c>
      <c r="Q387" s="888"/>
      <c r="R387" s="51"/>
      <c r="S387" s="51"/>
      <c r="T387" s="757"/>
      <c r="U387" s="757"/>
      <c r="V387" s="361"/>
      <c r="W387" s="382"/>
      <c r="X387" s="56"/>
      <c r="Y387" s="443" t="s">
        <v>1084</v>
      </c>
      <c r="Z387" s="51" t="s">
        <v>1522</v>
      </c>
      <c r="AA387" s="752">
        <v>39074</v>
      </c>
      <c r="AB387" s="758"/>
      <c r="AC387" s="122"/>
      <c r="AD387" s="122"/>
      <c r="AE387" s="122"/>
      <c r="AF387" s="122"/>
      <c r="AG387" s="92"/>
      <c r="AH387" s="92"/>
      <c r="AI387" s="361"/>
      <c r="AJ387" s="1081"/>
      <c r="AK387" s="92"/>
      <c r="AL387" s="92"/>
      <c r="AM387" s="92"/>
      <c r="AN387" s="92"/>
      <c r="AO387" s="51" t="s">
        <v>1521</v>
      </c>
      <c r="AP387" s="783"/>
      <c r="AQ387" s="51"/>
    </row>
    <row r="388" spans="1:43" s="489" customFormat="1" ht="28.5" customHeight="1">
      <c r="A388" s="459" t="s">
        <v>964</v>
      </c>
      <c r="B388" s="51">
        <v>26</v>
      </c>
      <c r="C388" s="51" t="s">
        <v>1177</v>
      </c>
      <c r="D388" s="63" t="s">
        <v>1176</v>
      </c>
      <c r="E388" s="51"/>
      <c r="F388" s="51">
        <v>2</v>
      </c>
      <c r="G388" s="459"/>
      <c r="H388" s="1032" t="s">
        <v>1712</v>
      </c>
      <c r="I388" s="68" t="s">
        <v>1588</v>
      </c>
      <c r="J388" s="51"/>
      <c r="K388" s="796" t="s">
        <v>2001</v>
      </c>
      <c r="L388" s="361">
        <f>O388/5</f>
        <v>1220</v>
      </c>
      <c r="M388" s="92"/>
      <c r="N388" s="122">
        <v>39448</v>
      </c>
      <c r="O388" s="943">
        <v>6100</v>
      </c>
      <c r="P388" s="51" t="s">
        <v>698</v>
      </c>
      <c r="Q388" s="888"/>
      <c r="R388" s="51"/>
      <c r="S388" s="51"/>
      <c r="T388" s="757"/>
      <c r="U388" s="757"/>
      <c r="V388" s="361"/>
      <c r="W388" s="382"/>
      <c r="X388" s="56"/>
      <c r="Y388" s="51" t="s">
        <v>903</v>
      </c>
      <c r="Z388" s="51" t="s">
        <v>1511</v>
      </c>
      <c r="AA388" s="122">
        <v>39093</v>
      </c>
      <c r="AB388" s="757"/>
      <c r="AC388" s="122"/>
      <c r="AD388" s="122"/>
      <c r="AE388" s="122"/>
      <c r="AF388" s="122"/>
      <c r="AG388" s="92"/>
      <c r="AH388" s="92"/>
      <c r="AI388" s="361"/>
      <c r="AJ388" s="1081"/>
      <c r="AK388" s="92"/>
      <c r="AL388" s="92"/>
      <c r="AM388" s="92"/>
      <c r="AN388" s="92"/>
      <c r="AO388" s="781"/>
      <c r="AP388" s="463"/>
      <c r="AQ388" s="51"/>
    </row>
    <row r="389" spans="1:43" s="489" customFormat="1" ht="12.75" customHeight="1">
      <c r="A389" s="459" t="s">
        <v>961</v>
      </c>
      <c r="B389" s="51">
        <v>30</v>
      </c>
      <c r="C389" s="51" t="s">
        <v>1015</v>
      </c>
      <c r="D389" s="63" t="s">
        <v>1176</v>
      </c>
      <c r="E389" s="51"/>
      <c r="F389" s="51">
        <v>2</v>
      </c>
      <c r="G389" s="459"/>
      <c r="H389" s="1032" t="s">
        <v>1712</v>
      </c>
      <c r="I389" s="68" t="s">
        <v>1735</v>
      </c>
      <c r="J389" s="51"/>
      <c r="K389" s="796" t="s">
        <v>2001</v>
      </c>
      <c r="L389" s="361">
        <v>64.66</v>
      </c>
      <c r="M389" s="92"/>
      <c r="N389" s="122">
        <v>39448</v>
      </c>
      <c r="O389" s="943">
        <v>323.30099999999999</v>
      </c>
      <c r="P389" s="51" t="s">
        <v>1731</v>
      </c>
      <c r="Q389" s="888"/>
      <c r="R389" s="51"/>
      <c r="S389" s="51"/>
      <c r="T389" s="757"/>
      <c r="U389" s="757"/>
      <c r="V389" s="361"/>
      <c r="W389" s="382"/>
      <c r="X389" s="56"/>
      <c r="Y389" s="51" t="s">
        <v>1396</v>
      </c>
      <c r="Z389" s="51" t="s">
        <v>751</v>
      </c>
      <c r="AA389" s="122">
        <v>39107</v>
      </c>
      <c r="AB389" s="757"/>
      <c r="AC389" s="122"/>
      <c r="AD389" s="122"/>
      <c r="AE389" s="122"/>
      <c r="AF389" s="122"/>
      <c r="AG389" s="92"/>
      <c r="AH389" s="92"/>
      <c r="AI389" s="361"/>
      <c r="AJ389" s="1081"/>
      <c r="AK389" s="92"/>
      <c r="AL389" s="92"/>
      <c r="AM389" s="92"/>
      <c r="AN389" s="92"/>
      <c r="AO389" s="51"/>
      <c r="AP389" s="463"/>
      <c r="AQ389" s="51"/>
    </row>
    <row r="390" spans="1:43" s="489" customFormat="1" ht="15" customHeight="1">
      <c r="A390" s="459" t="s">
        <v>1387</v>
      </c>
      <c r="B390" s="64">
        <v>39</v>
      </c>
      <c r="C390" s="64" t="s">
        <v>1389</v>
      </c>
      <c r="D390" s="246" t="s">
        <v>1176</v>
      </c>
      <c r="E390" s="64"/>
      <c r="F390" s="64">
        <v>2</v>
      </c>
      <c r="G390" s="1031"/>
      <c r="H390" s="1033" t="s">
        <v>1712</v>
      </c>
      <c r="I390" s="68" t="s">
        <v>1082</v>
      </c>
      <c r="J390" s="64" t="s">
        <v>1357</v>
      </c>
      <c r="K390" s="68" t="s">
        <v>1359</v>
      </c>
      <c r="L390" s="384">
        <v>42.198</v>
      </c>
      <c r="M390" s="126"/>
      <c r="N390" s="283">
        <v>39448</v>
      </c>
      <c r="O390" s="1047">
        <v>210.988</v>
      </c>
      <c r="P390" s="64" t="s">
        <v>1731</v>
      </c>
      <c r="Q390" s="952"/>
      <c r="R390" s="64"/>
      <c r="S390" s="64"/>
      <c r="T390" s="1056"/>
      <c r="U390" s="1056"/>
      <c r="V390" s="384"/>
      <c r="W390" s="895"/>
      <c r="X390" s="68"/>
      <c r="Y390" s="64" t="s">
        <v>969</v>
      </c>
      <c r="Z390" s="64" t="s">
        <v>1390</v>
      </c>
      <c r="AA390" s="1063">
        <v>39135</v>
      </c>
      <c r="AB390" s="1073"/>
      <c r="AC390" s="283"/>
      <c r="AD390" s="283"/>
      <c r="AE390" s="283"/>
      <c r="AF390" s="283"/>
      <c r="AG390" s="126"/>
      <c r="AH390" s="126">
        <v>20</v>
      </c>
      <c r="AI390" s="384"/>
      <c r="AJ390" s="1082"/>
      <c r="AK390" s="126"/>
      <c r="AL390" s="126"/>
      <c r="AM390" s="126"/>
      <c r="AN390" s="126"/>
      <c r="AO390" s="51"/>
      <c r="AP390" s="463"/>
      <c r="AQ390" s="51"/>
    </row>
    <row r="391" spans="1:43" s="489" customFormat="1" ht="12.75" customHeight="1">
      <c r="A391" s="459" t="s">
        <v>1391</v>
      </c>
      <c r="B391" s="51">
        <v>41</v>
      </c>
      <c r="C391" s="64" t="s">
        <v>1394</v>
      </c>
      <c r="D391" s="54" t="s">
        <v>1176</v>
      </c>
      <c r="E391" s="51"/>
      <c r="F391" s="51">
        <v>2</v>
      </c>
      <c r="G391" s="459"/>
      <c r="H391" s="1032" t="s">
        <v>1712</v>
      </c>
      <c r="I391" s="68" t="s">
        <v>1548</v>
      </c>
      <c r="J391" s="51"/>
      <c r="K391" s="56" t="s">
        <v>1381</v>
      </c>
      <c r="L391" s="361">
        <v>86.614000000000004</v>
      </c>
      <c r="M391" s="92"/>
      <c r="N391" s="283">
        <v>39448</v>
      </c>
      <c r="O391" s="943">
        <v>433.072</v>
      </c>
      <c r="P391" s="51" t="s">
        <v>1731</v>
      </c>
      <c r="Q391" s="888"/>
      <c r="R391" s="51"/>
      <c r="S391" s="51"/>
      <c r="T391" s="757"/>
      <c r="U391" s="757"/>
      <c r="V391" s="361"/>
      <c r="W391" s="382"/>
      <c r="X391" s="56"/>
      <c r="Y391" s="443" t="s">
        <v>1084</v>
      </c>
      <c r="Z391" s="51"/>
      <c r="AA391" s="752">
        <v>39149</v>
      </c>
      <c r="AB391" s="758"/>
      <c r="AC391" s="122"/>
      <c r="AD391" s="122"/>
      <c r="AE391" s="122"/>
      <c r="AF391" s="122"/>
      <c r="AG391" s="92"/>
      <c r="AH391" s="92"/>
      <c r="AI391" s="361"/>
      <c r="AJ391" s="1081"/>
      <c r="AK391" s="92"/>
      <c r="AL391" s="92"/>
      <c r="AM391" s="92"/>
      <c r="AN391" s="92"/>
      <c r="AO391" s="51"/>
      <c r="AP391" s="463"/>
      <c r="AQ391" s="51"/>
    </row>
    <row r="392" spans="1:43" s="489" customFormat="1" ht="28.5" customHeight="1">
      <c r="A392" s="459" t="s">
        <v>712</v>
      </c>
      <c r="B392" s="51">
        <v>42</v>
      </c>
      <c r="C392" s="51" t="s">
        <v>1395</v>
      </c>
      <c r="D392" s="63" t="s">
        <v>1176</v>
      </c>
      <c r="E392" s="51"/>
      <c r="F392" s="51">
        <v>2</v>
      </c>
      <c r="G392" s="459"/>
      <c r="H392" s="1032" t="s">
        <v>1712</v>
      </c>
      <c r="I392" s="68" t="s">
        <v>1489</v>
      </c>
      <c r="J392" s="461" t="s">
        <v>1710</v>
      </c>
      <c r="K392" s="56" t="s">
        <v>689</v>
      </c>
      <c r="L392" s="361">
        <v>428.726</v>
      </c>
      <c r="M392" s="92"/>
      <c r="N392" s="122">
        <v>39448</v>
      </c>
      <c r="O392" s="943">
        <v>2143.63</v>
      </c>
      <c r="P392" s="51" t="s">
        <v>1486</v>
      </c>
      <c r="Q392" s="888"/>
      <c r="R392" s="51"/>
      <c r="S392" s="51"/>
      <c r="T392" s="757"/>
      <c r="U392" s="757"/>
      <c r="V392" s="361"/>
      <c r="W392" s="382"/>
      <c r="X392" s="56"/>
      <c r="Y392" s="51" t="s">
        <v>998</v>
      </c>
      <c r="Z392" s="51" t="s">
        <v>1592</v>
      </c>
      <c r="AA392" s="122">
        <v>39150</v>
      </c>
      <c r="AB392" s="757"/>
      <c r="AC392" s="122"/>
      <c r="AD392" s="122"/>
      <c r="AE392" s="122"/>
      <c r="AF392" s="122"/>
      <c r="AG392" s="92"/>
      <c r="AH392" s="92"/>
      <c r="AI392" s="361"/>
      <c r="AJ392" s="1081"/>
      <c r="AK392" s="92"/>
      <c r="AL392" s="92"/>
      <c r="AM392" s="92"/>
      <c r="AN392" s="92"/>
      <c r="AO392" s="51"/>
      <c r="AP392" s="463"/>
      <c r="AQ392" s="51"/>
    </row>
    <row r="393" spans="1:43" s="489" customFormat="1" ht="15.75" customHeight="1">
      <c r="A393" s="459" t="s">
        <v>561</v>
      </c>
      <c r="B393" s="51">
        <v>43</v>
      </c>
      <c r="C393" s="443" t="s">
        <v>1914</v>
      </c>
      <c r="D393" s="63" t="s">
        <v>1176</v>
      </c>
      <c r="E393" s="51"/>
      <c r="F393" s="51">
        <v>2</v>
      </c>
      <c r="G393" s="51"/>
      <c r="H393" s="56" t="s">
        <v>1712</v>
      </c>
      <c r="I393" s="68" t="s">
        <v>1489</v>
      </c>
      <c r="J393" s="330" t="s">
        <v>1710</v>
      </c>
      <c r="K393" s="56" t="s">
        <v>689</v>
      </c>
      <c r="L393" s="361">
        <v>371.02800000000002</v>
      </c>
      <c r="M393" s="92"/>
      <c r="N393" s="122">
        <v>39448</v>
      </c>
      <c r="O393" s="943">
        <f>L393*5</f>
        <v>1855.14</v>
      </c>
      <c r="P393" s="51" t="s">
        <v>1486</v>
      </c>
      <c r="Q393" s="888"/>
      <c r="R393" s="51"/>
      <c r="S393" s="51"/>
      <c r="T393" s="757"/>
      <c r="U393" s="757"/>
      <c r="V393" s="361"/>
      <c r="W393" s="382"/>
      <c r="X393" s="56"/>
      <c r="Y393" s="51" t="s">
        <v>998</v>
      </c>
      <c r="Z393" s="51" t="s">
        <v>1002</v>
      </c>
      <c r="AA393" s="122">
        <v>39150</v>
      </c>
      <c r="AB393" s="757"/>
      <c r="AC393" s="122"/>
      <c r="AD393" s="122"/>
      <c r="AE393" s="122"/>
      <c r="AF393" s="122"/>
      <c r="AG393" s="92"/>
      <c r="AH393" s="92"/>
      <c r="AI393" s="361"/>
      <c r="AJ393" s="1081"/>
      <c r="AK393" s="92"/>
      <c r="AL393" s="92"/>
      <c r="AM393" s="92"/>
      <c r="AN393" s="92"/>
      <c r="AO393" s="51"/>
      <c r="AP393" s="463"/>
      <c r="AQ393" s="51"/>
    </row>
    <row r="394" spans="1:43" s="489" customFormat="1" ht="27" customHeight="1">
      <c r="A394" s="459" t="s">
        <v>1028</v>
      </c>
      <c r="B394" s="52">
        <v>52</v>
      </c>
      <c r="C394" s="51" t="s">
        <v>1032</v>
      </c>
      <c r="D394" s="59" t="s">
        <v>1176</v>
      </c>
      <c r="E394" s="52"/>
      <c r="F394" s="51">
        <v>2</v>
      </c>
      <c r="G394" s="51"/>
      <c r="H394" s="56" t="s">
        <v>1712</v>
      </c>
      <c r="I394" s="68" t="s">
        <v>1548</v>
      </c>
      <c r="J394" s="51"/>
      <c r="K394" s="56" t="s">
        <v>1381</v>
      </c>
      <c r="L394" s="361">
        <v>162.489</v>
      </c>
      <c r="M394" s="92"/>
      <c r="N394" s="122">
        <v>39448</v>
      </c>
      <c r="O394" s="943">
        <v>812.44500000000005</v>
      </c>
      <c r="P394" s="52" t="s">
        <v>1731</v>
      </c>
      <c r="Q394" s="981"/>
      <c r="R394" s="52"/>
      <c r="S394" s="52"/>
      <c r="T394" s="1055"/>
      <c r="U394" s="1055"/>
      <c r="V394" s="385"/>
      <c r="W394" s="383"/>
      <c r="X394" s="542"/>
      <c r="Y394" s="51" t="s">
        <v>564</v>
      </c>
      <c r="Z394" s="51" t="s">
        <v>288</v>
      </c>
      <c r="AA394" s="875">
        <v>39213</v>
      </c>
      <c r="AB394" s="1071"/>
      <c r="AC394" s="854"/>
      <c r="AD394" s="854"/>
      <c r="AE394" s="854"/>
      <c r="AF394" s="854"/>
      <c r="AG394" s="92"/>
      <c r="AH394" s="92">
        <v>36</v>
      </c>
      <c r="AI394" s="361"/>
      <c r="AJ394" s="1081"/>
      <c r="AK394" s="92"/>
      <c r="AL394" s="92"/>
      <c r="AM394" s="92"/>
      <c r="AN394" s="92"/>
      <c r="AO394" s="52"/>
      <c r="AP394" s="783"/>
      <c r="AQ394" s="443"/>
    </row>
    <row r="395" spans="1:43" s="489" customFormat="1" ht="27" customHeight="1">
      <c r="A395" s="459" t="s">
        <v>1030</v>
      </c>
      <c r="B395" s="52">
        <v>54</v>
      </c>
      <c r="C395" s="52" t="s">
        <v>1041</v>
      </c>
      <c r="D395" s="59" t="s">
        <v>1176</v>
      </c>
      <c r="E395" s="52"/>
      <c r="F395" s="51">
        <v>2</v>
      </c>
      <c r="G395" s="51"/>
      <c r="H395" s="1032" t="s">
        <v>1712</v>
      </c>
      <c r="I395" s="60" t="s">
        <v>1489</v>
      </c>
      <c r="J395" s="51" t="s">
        <v>1709</v>
      </c>
      <c r="K395" s="542" t="s">
        <v>689</v>
      </c>
      <c r="L395" s="361">
        <v>116.38</v>
      </c>
      <c r="M395" s="92"/>
      <c r="N395" s="122">
        <v>39448</v>
      </c>
      <c r="O395" s="361">
        <v>581.88</v>
      </c>
      <c r="P395" s="52" t="s">
        <v>1731</v>
      </c>
      <c r="Q395" s="981"/>
      <c r="R395" s="52"/>
      <c r="S395" s="52"/>
      <c r="T395" s="1055"/>
      <c r="U395" s="1055"/>
      <c r="V395" s="385"/>
      <c r="W395" s="383"/>
      <c r="X395" s="542"/>
      <c r="Y395" s="51" t="s">
        <v>564</v>
      </c>
      <c r="Z395" s="51" t="s">
        <v>288</v>
      </c>
      <c r="AA395" s="875">
        <v>39220</v>
      </c>
      <c r="AB395" s="1071"/>
      <c r="AC395" s="854"/>
      <c r="AD395" s="854"/>
      <c r="AE395" s="854"/>
      <c r="AF395" s="854"/>
      <c r="AG395" s="92"/>
      <c r="AH395" s="92"/>
      <c r="AI395" s="361"/>
      <c r="AJ395" s="1081"/>
      <c r="AK395" s="92"/>
      <c r="AL395" s="92"/>
      <c r="AM395" s="92"/>
      <c r="AN395" s="92"/>
      <c r="AO395" s="52"/>
      <c r="AP395" s="463"/>
      <c r="AQ395" s="51"/>
    </row>
    <row r="396" spans="1:43" s="489" customFormat="1" ht="13.5" customHeight="1">
      <c r="A396" s="459" t="s">
        <v>1031</v>
      </c>
      <c r="B396" s="52">
        <v>56</v>
      </c>
      <c r="C396" s="51" t="s">
        <v>338</v>
      </c>
      <c r="D396" s="59" t="s">
        <v>1176</v>
      </c>
      <c r="E396" s="52"/>
      <c r="F396" s="51">
        <v>2</v>
      </c>
      <c r="G396" s="459"/>
      <c r="H396" s="1032" t="s">
        <v>1712</v>
      </c>
      <c r="I396" s="60" t="s">
        <v>971</v>
      </c>
      <c r="J396" s="54" t="s">
        <v>1321</v>
      </c>
      <c r="K396" s="542" t="s">
        <v>680</v>
      </c>
      <c r="L396" s="361">
        <v>7.1277999999999997</v>
      </c>
      <c r="M396" s="92"/>
      <c r="N396" s="122">
        <v>39600</v>
      </c>
      <c r="O396" s="361">
        <f>L396*4.5833</f>
        <v>32.668845740000002</v>
      </c>
      <c r="P396" s="51" t="s">
        <v>1732</v>
      </c>
      <c r="Q396" s="981"/>
      <c r="R396" s="52"/>
      <c r="S396" s="52"/>
      <c r="T396" s="1055"/>
      <c r="U396" s="1055"/>
      <c r="V396" s="385"/>
      <c r="W396" s="383"/>
      <c r="X396" s="542"/>
      <c r="Y396" s="51" t="s">
        <v>416</v>
      </c>
      <c r="Z396" s="51" t="s">
        <v>339</v>
      </c>
      <c r="AA396" s="875">
        <v>39238</v>
      </c>
      <c r="AB396" s="1071"/>
      <c r="AC396" s="854"/>
      <c r="AD396" s="854"/>
      <c r="AE396" s="854"/>
      <c r="AF396" s="854"/>
      <c r="AG396" s="92"/>
      <c r="AH396" s="92">
        <v>1.978</v>
      </c>
      <c r="AI396" s="361"/>
      <c r="AJ396" s="1081"/>
      <c r="AK396" s="92"/>
      <c r="AL396" s="92"/>
      <c r="AM396" s="92"/>
      <c r="AN396" s="92"/>
      <c r="AO396" s="52"/>
      <c r="AP396" s="463"/>
      <c r="AQ396" s="782"/>
    </row>
    <row r="397" spans="1:43" s="489" customFormat="1" ht="12.75" customHeight="1">
      <c r="A397" s="459" t="s">
        <v>331</v>
      </c>
      <c r="B397" s="52">
        <v>57</v>
      </c>
      <c r="C397" s="51" t="s">
        <v>340</v>
      </c>
      <c r="D397" s="59" t="s">
        <v>1176</v>
      </c>
      <c r="E397" s="52"/>
      <c r="F397" s="51">
        <v>2</v>
      </c>
      <c r="G397" s="459"/>
      <c r="H397" s="1032" t="s">
        <v>1712</v>
      </c>
      <c r="I397" s="60" t="s">
        <v>1548</v>
      </c>
      <c r="J397" s="51" t="s">
        <v>235</v>
      </c>
      <c r="K397" s="542" t="s">
        <v>746</v>
      </c>
      <c r="L397" s="361">
        <v>146.18100000000001</v>
      </c>
      <c r="M397" s="92"/>
      <c r="N397" s="122">
        <v>39448</v>
      </c>
      <c r="O397" s="943">
        <f t="shared" ref="O397:O402" si="22">L397*5</f>
        <v>730.90500000000009</v>
      </c>
      <c r="P397" s="51" t="s">
        <v>1732</v>
      </c>
      <c r="Q397" s="981"/>
      <c r="R397" s="52"/>
      <c r="S397" s="52"/>
      <c r="T397" s="1055"/>
      <c r="U397" s="1055"/>
      <c r="V397" s="385"/>
      <c r="W397" s="383"/>
      <c r="X397" s="542"/>
      <c r="Y397" s="51" t="s">
        <v>1310</v>
      </c>
      <c r="Z397" s="51" t="s">
        <v>341</v>
      </c>
      <c r="AA397" s="875">
        <v>39238</v>
      </c>
      <c r="AB397" s="1071"/>
      <c r="AC397" s="854"/>
      <c r="AD397" s="854"/>
      <c r="AE397" s="854"/>
      <c r="AF397" s="854"/>
      <c r="AG397" s="92"/>
      <c r="AH397" s="92"/>
      <c r="AI397" s="361"/>
      <c r="AJ397" s="1081"/>
      <c r="AK397" s="92"/>
      <c r="AL397" s="1085"/>
      <c r="AM397" s="92"/>
      <c r="AN397" s="92"/>
      <c r="AO397" s="52"/>
      <c r="AP397" s="463"/>
      <c r="AQ397" s="51"/>
    </row>
    <row r="398" spans="1:43" s="489" customFormat="1" ht="27" customHeight="1">
      <c r="A398" s="459" t="s">
        <v>332</v>
      </c>
      <c r="B398" s="52">
        <v>58</v>
      </c>
      <c r="C398" s="51" t="s">
        <v>342</v>
      </c>
      <c r="D398" s="59" t="s">
        <v>1176</v>
      </c>
      <c r="E398" s="52"/>
      <c r="F398" s="51">
        <v>2</v>
      </c>
      <c r="G398" s="459"/>
      <c r="H398" s="1032" t="s">
        <v>1712</v>
      </c>
      <c r="I398" s="60" t="s">
        <v>1548</v>
      </c>
      <c r="J398" s="51" t="s">
        <v>235</v>
      </c>
      <c r="K398" s="542" t="s">
        <v>746</v>
      </c>
      <c r="L398" s="361">
        <v>771.39200000000005</v>
      </c>
      <c r="M398" s="92"/>
      <c r="N398" s="122">
        <v>39448</v>
      </c>
      <c r="O398" s="943">
        <f t="shared" si="22"/>
        <v>3856.96</v>
      </c>
      <c r="P398" s="51" t="s">
        <v>1732</v>
      </c>
      <c r="Q398" s="981"/>
      <c r="R398" s="52"/>
      <c r="S398" s="52"/>
      <c r="T398" s="1055"/>
      <c r="U398" s="1055"/>
      <c r="V398" s="385"/>
      <c r="W398" s="383"/>
      <c r="X398" s="542"/>
      <c r="Y398" s="51" t="s">
        <v>1310</v>
      </c>
      <c r="Z398" s="51" t="s">
        <v>341</v>
      </c>
      <c r="AA398" s="875">
        <v>39238</v>
      </c>
      <c r="AB398" s="1071"/>
      <c r="AC398" s="854"/>
      <c r="AD398" s="854"/>
      <c r="AE398" s="854"/>
      <c r="AF398" s="854"/>
      <c r="AG398" s="92"/>
      <c r="AH398" s="92"/>
      <c r="AI398" s="361"/>
      <c r="AJ398" s="1081"/>
      <c r="AK398" s="92"/>
      <c r="AL398" s="92"/>
      <c r="AM398" s="92"/>
      <c r="AN398" s="92"/>
      <c r="AO398" s="52"/>
      <c r="AP398" s="463"/>
      <c r="AQ398" s="51"/>
    </row>
    <row r="399" spans="1:43" s="489" customFormat="1" ht="12.75" customHeight="1">
      <c r="A399" s="459" t="s">
        <v>334</v>
      </c>
      <c r="B399" s="52">
        <v>59</v>
      </c>
      <c r="C399" s="51" t="s">
        <v>343</v>
      </c>
      <c r="D399" s="59" t="s">
        <v>1176</v>
      </c>
      <c r="E399" s="52"/>
      <c r="F399" s="51">
        <v>2</v>
      </c>
      <c r="G399" s="459"/>
      <c r="H399" s="1032" t="s">
        <v>1712</v>
      </c>
      <c r="I399" s="60" t="s">
        <v>1548</v>
      </c>
      <c r="J399" s="51" t="s">
        <v>235</v>
      </c>
      <c r="K399" s="542" t="s">
        <v>746</v>
      </c>
      <c r="L399" s="361">
        <v>731.26700000000005</v>
      </c>
      <c r="M399" s="92"/>
      <c r="N399" s="122">
        <v>39448</v>
      </c>
      <c r="O399" s="943">
        <f t="shared" si="22"/>
        <v>3656.335</v>
      </c>
      <c r="P399" s="51" t="s">
        <v>1732</v>
      </c>
      <c r="Q399" s="981"/>
      <c r="R399" s="52"/>
      <c r="S399" s="52"/>
      <c r="T399" s="1055"/>
      <c r="U399" s="1055"/>
      <c r="V399" s="385"/>
      <c r="W399" s="383"/>
      <c r="X399" s="542"/>
      <c r="Y399" s="51" t="s">
        <v>1310</v>
      </c>
      <c r="Z399" s="51" t="s">
        <v>341</v>
      </c>
      <c r="AA399" s="875">
        <v>39238</v>
      </c>
      <c r="AB399" s="1071"/>
      <c r="AC399" s="854"/>
      <c r="AD399" s="854"/>
      <c r="AE399" s="854"/>
      <c r="AF399" s="854"/>
      <c r="AG399" s="92"/>
      <c r="AH399" s="92"/>
      <c r="AI399" s="361"/>
      <c r="AJ399" s="1081"/>
      <c r="AK399" s="92"/>
      <c r="AL399" s="92"/>
      <c r="AM399" s="92"/>
      <c r="AN399" s="92"/>
      <c r="AO399" s="52"/>
      <c r="AP399" s="463"/>
      <c r="AQ399" s="782"/>
    </row>
    <row r="400" spans="1:43" s="489" customFormat="1" ht="26.25" customHeight="1">
      <c r="A400" s="459" t="s">
        <v>335</v>
      </c>
      <c r="B400" s="52">
        <v>60</v>
      </c>
      <c r="C400" s="51" t="s">
        <v>344</v>
      </c>
      <c r="D400" s="59" t="s">
        <v>1176</v>
      </c>
      <c r="E400" s="52"/>
      <c r="F400" s="51">
        <v>2</v>
      </c>
      <c r="G400" s="459"/>
      <c r="H400" s="1032" t="s">
        <v>1712</v>
      </c>
      <c r="I400" s="60" t="s">
        <v>1548</v>
      </c>
      <c r="J400" s="51" t="s">
        <v>235</v>
      </c>
      <c r="K400" s="542" t="s">
        <v>746</v>
      </c>
      <c r="L400" s="361">
        <v>63.994999999999997</v>
      </c>
      <c r="M400" s="92"/>
      <c r="N400" s="122">
        <v>39448</v>
      </c>
      <c r="O400" s="943">
        <f t="shared" si="22"/>
        <v>319.97499999999997</v>
      </c>
      <c r="P400" s="51" t="s">
        <v>1732</v>
      </c>
      <c r="Q400" s="981"/>
      <c r="R400" s="52"/>
      <c r="S400" s="52"/>
      <c r="T400" s="1055"/>
      <c r="U400" s="1055"/>
      <c r="V400" s="385"/>
      <c r="W400" s="383"/>
      <c r="X400" s="542"/>
      <c r="Y400" s="51" t="s">
        <v>1310</v>
      </c>
      <c r="Z400" s="51" t="s">
        <v>341</v>
      </c>
      <c r="AA400" s="875">
        <v>39238</v>
      </c>
      <c r="AB400" s="1071"/>
      <c r="AC400" s="854"/>
      <c r="AD400" s="854"/>
      <c r="AE400" s="854"/>
      <c r="AF400" s="854"/>
      <c r="AG400" s="92"/>
      <c r="AH400" s="92"/>
      <c r="AI400" s="361"/>
      <c r="AJ400" s="1081"/>
      <c r="AK400" s="92"/>
      <c r="AL400" s="92"/>
      <c r="AM400" s="92"/>
      <c r="AN400" s="92"/>
      <c r="AO400" s="52"/>
      <c r="AP400" s="463"/>
      <c r="AQ400" s="51"/>
    </row>
    <row r="401" spans="1:43" s="489" customFormat="1" ht="12.75" customHeight="1">
      <c r="A401" s="459" t="s">
        <v>337</v>
      </c>
      <c r="B401" s="52">
        <v>62</v>
      </c>
      <c r="C401" s="51" t="s">
        <v>0</v>
      </c>
      <c r="D401" s="59" t="s">
        <v>1176</v>
      </c>
      <c r="E401" s="52"/>
      <c r="F401" s="51">
        <v>2</v>
      </c>
      <c r="G401" s="459"/>
      <c r="H401" s="56" t="s">
        <v>1712</v>
      </c>
      <c r="I401" s="68" t="s">
        <v>1489</v>
      </c>
      <c r="J401" s="54" t="s">
        <v>1710</v>
      </c>
      <c r="K401" s="542" t="s">
        <v>689</v>
      </c>
      <c r="L401" s="361">
        <v>595.76700000000005</v>
      </c>
      <c r="M401" s="92"/>
      <c r="N401" s="122">
        <v>39448</v>
      </c>
      <c r="O401" s="943">
        <f t="shared" si="22"/>
        <v>2978.835</v>
      </c>
      <c r="P401" s="52" t="s">
        <v>1486</v>
      </c>
      <c r="Q401" s="981"/>
      <c r="R401" s="52"/>
      <c r="S401" s="52"/>
      <c r="T401" s="1055"/>
      <c r="U401" s="1055"/>
      <c r="V401" s="385"/>
      <c r="W401" s="383"/>
      <c r="X401" s="542"/>
      <c r="Y401" s="51" t="s">
        <v>979</v>
      </c>
      <c r="Z401" s="51" t="s">
        <v>1743</v>
      </c>
      <c r="AA401" s="875">
        <v>39259</v>
      </c>
      <c r="AB401" s="1071"/>
      <c r="AC401" s="854"/>
      <c r="AD401" s="854"/>
      <c r="AE401" s="854"/>
      <c r="AF401" s="854"/>
      <c r="AG401" s="92"/>
      <c r="AH401" s="92"/>
      <c r="AI401" s="361"/>
      <c r="AJ401" s="1081"/>
      <c r="AK401" s="92"/>
      <c r="AL401" s="92"/>
      <c r="AM401" s="92"/>
      <c r="AN401" s="92"/>
      <c r="AO401" s="52"/>
      <c r="AP401" s="463"/>
      <c r="AQ401" s="51"/>
    </row>
    <row r="402" spans="1:43" s="489" customFormat="1" ht="25.5" customHeight="1">
      <c r="A402" s="459" t="s">
        <v>985</v>
      </c>
      <c r="B402" s="52">
        <v>67</v>
      </c>
      <c r="C402" s="52" t="s">
        <v>480</v>
      </c>
      <c r="D402" s="59" t="s">
        <v>1176</v>
      </c>
      <c r="E402" s="52"/>
      <c r="F402" s="51">
        <v>2</v>
      </c>
      <c r="G402" s="459"/>
      <c r="H402" s="1032" t="s">
        <v>1712</v>
      </c>
      <c r="I402" s="60" t="s">
        <v>1735</v>
      </c>
      <c r="J402" s="51"/>
      <c r="K402" s="542" t="s">
        <v>680</v>
      </c>
      <c r="L402" s="361">
        <v>40.299999999999997</v>
      </c>
      <c r="M402" s="92"/>
      <c r="N402" s="122">
        <v>39448</v>
      </c>
      <c r="O402" s="943">
        <f t="shared" si="22"/>
        <v>201.5</v>
      </c>
      <c r="P402" s="52" t="s">
        <v>1486</v>
      </c>
      <c r="Q402" s="981"/>
      <c r="R402" s="52"/>
      <c r="S402" s="52"/>
      <c r="T402" s="1055"/>
      <c r="U402" s="1055"/>
      <c r="V402" s="385"/>
      <c r="W402" s="383"/>
      <c r="X402" s="542"/>
      <c r="Y402" s="51" t="s">
        <v>481</v>
      </c>
      <c r="Z402" s="51" t="s">
        <v>482</v>
      </c>
      <c r="AA402" s="875">
        <v>39282</v>
      </c>
      <c r="AB402" s="1071"/>
      <c r="AC402" s="854"/>
      <c r="AD402" s="854"/>
      <c r="AE402" s="854"/>
      <c r="AF402" s="854"/>
      <c r="AG402" s="92"/>
      <c r="AH402" s="92"/>
      <c r="AI402" s="361"/>
      <c r="AJ402" s="1081"/>
      <c r="AK402" s="92"/>
      <c r="AL402" s="92"/>
      <c r="AM402" s="92"/>
      <c r="AN402" s="92"/>
      <c r="AO402" s="52"/>
      <c r="AP402" s="463"/>
      <c r="AQ402" s="51"/>
    </row>
    <row r="403" spans="1:43" s="489" customFormat="1" ht="27" customHeight="1">
      <c r="A403" s="459" t="s">
        <v>477</v>
      </c>
      <c r="B403" s="52">
        <v>68</v>
      </c>
      <c r="C403" s="52" t="s">
        <v>483</v>
      </c>
      <c r="D403" s="59" t="s">
        <v>1176</v>
      </c>
      <c r="E403" s="52"/>
      <c r="F403" s="51">
        <v>2</v>
      </c>
      <c r="G403" s="459"/>
      <c r="H403" s="1032" t="s">
        <v>1712</v>
      </c>
      <c r="I403" s="68" t="s">
        <v>1588</v>
      </c>
      <c r="J403" s="51"/>
      <c r="K403" s="542" t="s">
        <v>882</v>
      </c>
      <c r="L403" s="361">
        <v>224.60499999999999</v>
      </c>
      <c r="M403" s="92"/>
      <c r="N403" s="122">
        <v>39539</v>
      </c>
      <c r="O403" s="943">
        <f>4.75*L403</f>
        <v>1066.87375</v>
      </c>
      <c r="P403" s="52" t="s">
        <v>1486</v>
      </c>
      <c r="Q403" s="981"/>
      <c r="R403" s="52"/>
      <c r="S403" s="52"/>
      <c r="T403" s="1055"/>
      <c r="U403" s="1055"/>
      <c r="V403" s="385"/>
      <c r="W403" s="383"/>
      <c r="X403" s="542"/>
      <c r="Y403" s="51" t="s">
        <v>1365</v>
      </c>
      <c r="Z403" s="51" t="s">
        <v>835</v>
      </c>
      <c r="AA403" s="875">
        <v>39282</v>
      </c>
      <c r="AB403" s="1071"/>
      <c r="AC403" s="854"/>
      <c r="AD403" s="854"/>
      <c r="AE403" s="854"/>
      <c r="AF403" s="854"/>
      <c r="AG403" s="92"/>
      <c r="AH403" s="92"/>
      <c r="AI403" s="361"/>
      <c r="AJ403" s="1081"/>
      <c r="AK403" s="92"/>
      <c r="AL403" s="92"/>
      <c r="AM403" s="92"/>
      <c r="AN403" s="92"/>
      <c r="AO403" s="52"/>
      <c r="AP403" s="463"/>
      <c r="AQ403" s="51"/>
    </row>
    <row r="404" spans="1:43" s="489" customFormat="1" ht="12.75" customHeight="1">
      <c r="A404" s="459" t="s">
        <v>485</v>
      </c>
      <c r="B404" s="52">
        <v>70</v>
      </c>
      <c r="C404" s="52" t="s">
        <v>514</v>
      </c>
      <c r="D404" s="59" t="s">
        <v>1176</v>
      </c>
      <c r="E404" s="52"/>
      <c r="F404" s="51">
        <v>2</v>
      </c>
      <c r="G404" s="459"/>
      <c r="H404" s="1032" t="s">
        <v>1712</v>
      </c>
      <c r="I404" s="60" t="s">
        <v>1548</v>
      </c>
      <c r="J404" s="54" t="s">
        <v>235</v>
      </c>
      <c r="K404" s="542" t="s">
        <v>746</v>
      </c>
      <c r="L404" s="361">
        <v>45.933300000000003</v>
      </c>
      <c r="M404" s="92"/>
      <c r="N404" s="122">
        <v>39448</v>
      </c>
      <c r="O404" s="943">
        <f>L404*5</f>
        <v>229.66650000000001</v>
      </c>
      <c r="P404" s="51" t="s">
        <v>1732</v>
      </c>
      <c r="Q404" s="981"/>
      <c r="R404" s="52"/>
      <c r="S404" s="52"/>
      <c r="T404" s="1055"/>
      <c r="U404" s="1055"/>
      <c r="V404" s="385"/>
      <c r="W404" s="383"/>
      <c r="X404" s="542"/>
      <c r="Y404" s="51" t="s">
        <v>1366</v>
      </c>
      <c r="Z404" s="51" t="s">
        <v>855</v>
      </c>
      <c r="AA404" s="875">
        <v>39283</v>
      </c>
      <c r="AB404" s="1071"/>
      <c r="AC404" s="854"/>
      <c r="AD404" s="854"/>
      <c r="AE404" s="854"/>
      <c r="AF404" s="854"/>
      <c r="AG404" s="92"/>
      <c r="AH404" s="92"/>
      <c r="AI404" s="361"/>
      <c r="AJ404" s="1081"/>
      <c r="AK404" s="92"/>
      <c r="AL404" s="92"/>
      <c r="AM404" s="92"/>
      <c r="AN404" s="92"/>
      <c r="AO404" s="52" t="s">
        <v>516</v>
      </c>
      <c r="AP404" s="463"/>
      <c r="AQ404" s="51"/>
    </row>
    <row r="405" spans="1:43" s="489" customFormat="1" ht="36" customHeight="1">
      <c r="A405" s="459" t="s">
        <v>487</v>
      </c>
      <c r="B405" s="52">
        <v>72</v>
      </c>
      <c r="C405" s="52" t="s">
        <v>305</v>
      </c>
      <c r="D405" s="59" t="s">
        <v>1176</v>
      </c>
      <c r="E405" s="52"/>
      <c r="F405" s="51">
        <v>2</v>
      </c>
      <c r="G405" s="459"/>
      <c r="H405" s="1032" t="s">
        <v>1712</v>
      </c>
      <c r="I405" s="60" t="s">
        <v>1548</v>
      </c>
      <c r="J405" s="54" t="s">
        <v>235</v>
      </c>
      <c r="K405" s="542" t="s">
        <v>746</v>
      </c>
      <c r="L405" s="361">
        <v>132.59209999999999</v>
      </c>
      <c r="M405" s="92"/>
      <c r="N405" s="122">
        <v>39448</v>
      </c>
      <c r="O405" s="943">
        <f>L405*5</f>
        <v>662.96049999999991</v>
      </c>
      <c r="P405" s="51" t="s">
        <v>1732</v>
      </c>
      <c r="Q405" s="981"/>
      <c r="R405" s="52"/>
      <c r="S405" s="52"/>
      <c r="T405" s="1055"/>
      <c r="U405" s="1055"/>
      <c r="V405" s="385"/>
      <c r="W405" s="383"/>
      <c r="X405" s="542"/>
      <c r="Y405" s="51" t="s">
        <v>1366</v>
      </c>
      <c r="Z405" s="51" t="s">
        <v>855</v>
      </c>
      <c r="AA405" s="875">
        <v>39287</v>
      </c>
      <c r="AB405" s="1071"/>
      <c r="AC405" s="854"/>
      <c r="AD405" s="854"/>
      <c r="AE405" s="854"/>
      <c r="AF405" s="854"/>
      <c r="AG405" s="92"/>
      <c r="AH405" s="92"/>
      <c r="AI405" s="361"/>
      <c r="AJ405" s="1081"/>
      <c r="AK405" s="92"/>
      <c r="AL405" s="92"/>
      <c r="AM405" s="92"/>
      <c r="AN405" s="92"/>
      <c r="AO405" s="52" t="s">
        <v>516</v>
      </c>
      <c r="AP405" s="463"/>
      <c r="AQ405" s="51"/>
    </row>
    <row r="406" spans="1:43" s="489" customFormat="1" ht="15.75" customHeight="1">
      <c r="A406" s="459" t="s">
        <v>510</v>
      </c>
      <c r="B406" s="52">
        <v>74</v>
      </c>
      <c r="C406" s="52" t="s">
        <v>310</v>
      </c>
      <c r="D406" s="59" t="s">
        <v>1176</v>
      </c>
      <c r="E406" s="52"/>
      <c r="F406" s="51">
        <v>2</v>
      </c>
      <c r="G406" s="459"/>
      <c r="H406" s="1032" t="s">
        <v>1712</v>
      </c>
      <c r="I406" s="60" t="s">
        <v>981</v>
      </c>
      <c r="J406" s="51" t="s">
        <v>1173</v>
      </c>
      <c r="K406" s="542" t="s">
        <v>4</v>
      </c>
      <c r="L406" s="361">
        <v>620</v>
      </c>
      <c r="M406" s="92"/>
      <c r="N406" s="122">
        <v>39448</v>
      </c>
      <c r="O406" s="943">
        <f>L406*5</f>
        <v>3100</v>
      </c>
      <c r="P406" s="51" t="s">
        <v>1732</v>
      </c>
      <c r="Q406" s="981"/>
      <c r="R406" s="52"/>
      <c r="S406" s="52"/>
      <c r="T406" s="1055"/>
      <c r="U406" s="1055"/>
      <c r="V406" s="385"/>
      <c r="W406" s="383"/>
      <c r="X406" s="542"/>
      <c r="Y406" s="51" t="s">
        <v>1366</v>
      </c>
      <c r="Z406" s="51" t="s">
        <v>515</v>
      </c>
      <c r="AA406" s="875">
        <v>39288</v>
      </c>
      <c r="AB406" s="1071"/>
      <c r="AC406" s="854"/>
      <c r="AD406" s="854"/>
      <c r="AE406" s="854"/>
      <c r="AF406" s="854"/>
      <c r="AG406" s="92"/>
      <c r="AH406" s="92"/>
      <c r="AI406" s="361"/>
      <c r="AJ406" s="1081"/>
      <c r="AK406" s="92"/>
      <c r="AL406" s="92"/>
      <c r="AM406" s="92"/>
      <c r="AN406" s="92"/>
      <c r="AO406" s="52" t="s">
        <v>311</v>
      </c>
      <c r="AP406" s="463"/>
      <c r="AQ406" s="51"/>
    </row>
    <row r="407" spans="1:43" s="489" customFormat="1" ht="30.75" customHeight="1">
      <c r="A407" s="459" t="s">
        <v>874</v>
      </c>
      <c r="B407" s="52">
        <v>76</v>
      </c>
      <c r="C407" s="302" t="s">
        <v>876</v>
      </c>
      <c r="D407" s="59" t="s">
        <v>1176</v>
      </c>
      <c r="E407" s="52"/>
      <c r="F407" s="51">
        <v>2</v>
      </c>
      <c r="G407" s="459"/>
      <c r="H407" s="1032" t="s">
        <v>1712</v>
      </c>
      <c r="I407" s="60" t="s">
        <v>1588</v>
      </c>
      <c r="J407" s="51"/>
      <c r="K407" s="796" t="s">
        <v>2001</v>
      </c>
      <c r="L407" s="361">
        <v>192.62899999999999</v>
      </c>
      <c r="M407" s="92"/>
      <c r="N407" s="122">
        <v>39448</v>
      </c>
      <c r="O407" s="943">
        <f>90.798+92.16+260.062*3</f>
        <v>963.14400000000001</v>
      </c>
      <c r="P407" s="51" t="s">
        <v>1732</v>
      </c>
      <c r="Q407" s="981"/>
      <c r="R407" s="52"/>
      <c r="S407" s="52"/>
      <c r="T407" s="1055"/>
      <c r="U407" s="1055"/>
      <c r="V407" s="385"/>
      <c r="W407" s="383"/>
      <c r="X407" s="542"/>
      <c r="Y407" s="443" t="s">
        <v>1084</v>
      </c>
      <c r="Z407" s="51" t="s">
        <v>877</v>
      </c>
      <c r="AA407" s="875">
        <v>39323</v>
      </c>
      <c r="AB407" s="1071"/>
      <c r="AC407" s="854">
        <v>40382</v>
      </c>
      <c r="AD407" s="854"/>
      <c r="AE407" s="854"/>
      <c r="AF407" s="854"/>
      <c r="AG407" s="92"/>
      <c r="AH407" s="92"/>
      <c r="AI407" s="361"/>
      <c r="AJ407" s="1081"/>
      <c r="AK407" s="92"/>
      <c r="AL407" s="92"/>
      <c r="AM407" s="92"/>
      <c r="AN407" s="92"/>
      <c r="AO407" s="52" t="s">
        <v>878</v>
      </c>
      <c r="AP407" s="463"/>
      <c r="AQ407" s="51"/>
    </row>
    <row r="408" spans="1:43" s="489" customFormat="1" ht="44.25" customHeight="1">
      <c r="A408" s="459" t="s">
        <v>1092</v>
      </c>
      <c r="B408" s="52">
        <v>82</v>
      </c>
      <c r="C408" s="302" t="s">
        <v>1101</v>
      </c>
      <c r="D408" s="55" t="s">
        <v>1176</v>
      </c>
      <c r="E408" s="52"/>
      <c r="F408" s="51">
        <v>2</v>
      </c>
      <c r="G408" s="459"/>
      <c r="H408" s="1032" t="s">
        <v>1712</v>
      </c>
      <c r="I408" s="60" t="s">
        <v>1548</v>
      </c>
      <c r="J408" s="51" t="s">
        <v>235</v>
      </c>
      <c r="K408" s="542" t="s">
        <v>1103</v>
      </c>
      <c r="L408" s="361">
        <v>323.30599999999998</v>
      </c>
      <c r="M408" s="92"/>
      <c r="N408" s="122">
        <v>39448</v>
      </c>
      <c r="O408" s="943">
        <f>5*L408</f>
        <v>1616.53</v>
      </c>
      <c r="P408" s="459" t="s">
        <v>1732</v>
      </c>
      <c r="Q408" s="981"/>
      <c r="R408" s="52"/>
      <c r="S408" s="52"/>
      <c r="T408" s="1055"/>
      <c r="U408" s="1055"/>
      <c r="V408" s="385"/>
      <c r="W408" s="383"/>
      <c r="X408" s="542"/>
      <c r="Y408" s="51" t="s">
        <v>1141</v>
      </c>
      <c r="Z408" s="51" t="s">
        <v>1102</v>
      </c>
      <c r="AA408" s="875">
        <v>39360</v>
      </c>
      <c r="AB408" s="1071"/>
      <c r="AC408" s="854"/>
      <c r="AD408" s="854"/>
      <c r="AE408" s="854"/>
      <c r="AF408" s="854"/>
      <c r="AG408" s="92"/>
      <c r="AH408" s="92"/>
      <c r="AI408" s="361"/>
      <c r="AJ408" s="1081"/>
      <c r="AK408" s="92"/>
      <c r="AL408" s="92"/>
      <c r="AM408" s="92"/>
      <c r="AN408" s="92"/>
      <c r="AO408" s="52"/>
      <c r="AP408" s="463"/>
      <c r="AQ408" s="51"/>
    </row>
    <row r="409" spans="1:43" s="489" customFormat="1" ht="41.25" customHeight="1">
      <c r="A409" s="459" t="s">
        <v>1093</v>
      </c>
      <c r="B409" s="52">
        <v>83</v>
      </c>
      <c r="C409" s="303" t="s">
        <v>1139</v>
      </c>
      <c r="D409" s="55" t="s">
        <v>1176</v>
      </c>
      <c r="E409" s="52"/>
      <c r="F409" s="51">
        <v>2</v>
      </c>
      <c r="G409" s="51"/>
      <c r="H409" s="1032" t="s">
        <v>1712</v>
      </c>
      <c r="I409" s="60" t="s">
        <v>1548</v>
      </c>
      <c r="J409" s="51" t="s">
        <v>235</v>
      </c>
      <c r="K409" s="542" t="s">
        <v>1103</v>
      </c>
      <c r="L409" s="361">
        <v>559.36500000000001</v>
      </c>
      <c r="M409" s="92"/>
      <c r="N409" s="122">
        <v>39448</v>
      </c>
      <c r="O409" s="943">
        <f>5*L409</f>
        <v>2796.8249999999998</v>
      </c>
      <c r="P409" s="459" t="s">
        <v>1732</v>
      </c>
      <c r="Q409" s="981"/>
      <c r="R409" s="52"/>
      <c r="S409" s="52"/>
      <c r="T409" s="1055"/>
      <c r="U409" s="1055"/>
      <c r="V409" s="385"/>
      <c r="W409" s="383"/>
      <c r="X409" s="542"/>
      <c r="Y409" s="51" t="s">
        <v>1140</v>
      </c>
      <c r="Z409" s="51" t="s">
        <v>1102</v>
      </c>
      <c r="AA409" s="875">
        <v>39360</v>
      </c>
      <c r="AB409" s="1071"/>
      <c r="AC409" s="854"/>
      <c r="AD409" s="854"/>
      <c r="AE409" s="854"/>
      <c r="AF409" s="854"/>
      <c r="AG409" s="92"/>
      <c r="AH409" s="92"/>
      <c r="AI409" s="361"/>
      <c r="AJ409" s="1081"/>
      <c r="AK409" s="92"/>
      <c r="AL409" s="92"/>
      <c r="AM409" s="92"/>
      <c r="AN409" s="92"/>
      <c r="AO409" s="52"/>
      <c r="AP409" s="463"/>
      <c r="AQ409" s="782"/>
    </row>
    <row r="410" spans="1:43" s="489" customFormat="1" ht="41.25" customHeight="1">
      <c r="A410" s="459" t="s">
        <v>1094</v>
      </c>
      <c r="B410" s="52">
        <v>84</v>
      </c>
      <c r="C410" s="303" t="s">
        <v>1142</v>
      </c>
      <c r="D410" s="55" t="s">
        <v>1176</v>
      </c>
      <c r="E410" s="52"/>
      <c r="F410" s="51">
        <v>2</v>
      </c>
      <c r="G410" s="459"/>
      <c r="H410" s="1032" t="s">
        <v>1712</v>
      </c>
      <c r="I410" s="60" t="s">
        <v>1548</v>
      </c>
      <c r="J410" s="51" t="s">
        <v>235</v>
      </c>
      <c r="K410" s="542" t="s">
        <v>1103</v>
      </c>
      <c r="L410" s="361">
        <v>160.297</v>
      </c>
      <c r="M410" s="92"/>
      <c r="N410" s="122">
        <v>39448</v>
      </c>
      <c r="O410" s="943">
        <f>5*L410</f>
        <v>801.48500000000001</v>
      </c>
      <c r="P410" s="459" t="s">
        <v>1732</v>
      </c>
      <c r="Q410" s="981"/>
      <c r="R410" s="52"/>
      <c r="S410" s="52"/>
      <c r="T410" s="1055"/>
      <c r="U410" s="1055"/>
      <c r="V410" s="385"/>
      <c r="W410" s="1059"/>
      <c r="X410" s="1061"/>
      <c r="Y410" s="51" t="s">
        <v>1141</v>
      </c>
      <c r="Z410" s="51" t="s">
        <v>1102</v>
      </c>
      <c r="AA410" s="875">
        <v>39361</v>
      </c>
      <c r="AB410" s="1071"/>
      <c r="AC410" s="854"/>
      <c r="AD410" s="854"/>
      <c r="AE410" s="854"/>
      <c r="AF410" s="854"/>
      <c r="AG410" s="92"/>
      <c r="AH410" s="92"/>
      <c r="AI410" s="361"/>
      <c r="AJ410" s="1081"/>
      <c r="AK410" s="92"/>
      <c r="AL410" s="92"/>
      <c r="AM410" s="92"/>
      <c r="AN410" s="92"/>
      <c r="AO410" s="52"/>
      <c r="AP410" s="463"/>
      <c r="AQ410" s="51"/>
    </row>
    <row r="411" spans="1:43" s="489" customFormat="1" ht="30" customHeight="1">
      <c r="A411" s="459" t="s">
        <v>1095</v>
      </c>
      <c r="B411" s="52">
        <v>86</v>
      </c>
      <c r="C411" s="302" t="s">
        <v>1143</v>
      </c>
      <c r="D411" s="59" t="s">
        <v>1176</v>
      </c>
      <c r="E411" s="52"/>
      <c r="F411" s="51">
        <v>2</v>
      </c>
      <c r="G411" s="459"/>
      <c r="H411" s="1032" t="s">
        <v>1712</v>
      </c>
      <c r="I411" s="857" t="s">
        <v>1735</v>
      </c>
      <c r="J411" s="54"/>
      <c r="K411" s="796" t="s">
        <v>2001</v>
      </c>
      <c r="L411" s="361">
        <v>63.305</v>
      </c>
      <c r="M411" s="92"/>
      <c r="N411" s="122">
        <v>39448</v>
      </c>
      <c r="O411" s="943">
        <v>316.524</v>
      </c>
      <c r="P411" s="51" t="s">
        <v>1486</v>
      </c>
      <c r="Q411" s="981"/>
      <c r="R411" s="52"/>
      <c r="S411" s="52"/>
      <c r="T411" s="1055"/>
      <c r="U411" s="1055"/>
      <c r="V411" s="385"/>
      <c r="W411" s="383"/>
      <c r="X411" s="542"/>
      <c r="Y411" s="51" t="s">
        <v>1365</v>
      </c>
      <c r="Z411" s="51" t="s">
        <v>835</v>
      </c>
      <c r="AA411" s="875">
        <v>39373</v>
      </c>
      <c r="AB411" s="1071"/>
      <c r="AC411" s="854"/>
      <c r="AD411" s="854"/>
      <c r="AE411" s="854"/>
      <c r="AF411" s="854"/>
      <c r="AG411" s="92"/>
      <c r="AH411" s="92">
        <v>52</v>
      </c>
      <c r="AI411" s="361"/>
      <c r="AJ411" s="1081"/>
      <c r="AK411" s="92"/>
      <c r="AL411" s="92"/>
      <c r="AM411" s="92"/>
      <c r="AN411" s="92"/>
      <c r="AO411" s="52"/>
      <c r="AP411" s="463"/>
      <c r="AQ411" s="51"/>
    </row>
    <row r="412" spans="1:43" s="489" customFormat="1" ht="42" customHeight="1">
      <c r="A412" s="459" t="s">
        <v>1096</v>
      </c>
      <c r="B412" s="52">
        <v>87</v>
      </c>
      <c r="C412" s="52" t="s">
        <v>3619</v>
      </c>
      <c r="D412" s="59" t="s">
        <v>1176</v>
      </c>
      <c r="E412" s="52"/>
      <c r="F412" s="51">
        <v>2</v>
      </c>
      <c r="G412" s="459"/>
      <c r="H412" s="1032" t="s">
        <v>1712</v>
      </c>
      <c r="I412" s="60" t="s">
        <v>981</v>
      </c>
      <c r="J412" s="51" t="s">
        <v>1173</v>
      </c>
      <c r="K412" s="542" t="s">
        <v>4</v>
      </c>
      <c r="L412" s="361">
        <f>O412/5</f>
        <v>548.29259999999999</v>
      </c>
      <c r="M412" s="92"/>
      <c r="N412" s="122">
        <v>39448</v>
      </c>
      <c r="O412" s="943">
        <v>2741.4630000000002</v>
      </c>
      <c r="P412" s="51" t="s">
        <v>1732</v>
      </c>
      <c r="Q412" s="981"/>
      <c r="R412" s="52"/>
      <c r="S412" s="52"/>
      <c r="T412" s="1055"/>
      <c r="U412" s="1055"/>
      <c r="V412" s="385"/>
      <c r="W412" s="383"/>
      <c r="X412" s="542"/>
      <c r="Y412" s="51" t="s">
        <v>1366</v>
      </c>
      <c r="Z412" s="51" t="s">
        <v>515</v>
      </c>
      <c r="AA412" s="875">
        <v>39378</v>
      </c>
      <c r="AB412" s="1071"/>
      <c r="AC412" s="854"/>
      <c r="AD412" s="854"/>
      <c r="AE412" s="854"/>
      <c r="AF412" s="854"/>
      <c r="AG412" s="92"/>
      <c r="AH412" s="92"/>
      <c r="AI412" s="361"/>
      <c r="AJ412" s="1081"/>
      <c r="AK412" s="92"/>
      <c r="AL412" s="92"/>
      <c r="AM412" s="92"/>
      <c r="AN412" s="92"/>
      <c r="AO412" s="52"/>
      <c r="AP412" s="463"/>
      <c r="AQ412" s="51"/>
    </row>
    <row r="413" spans="1:43" s="489" customFormat="1" ht="40.5" customHeight="1">
      <c r="A413" s="459" t="s">
        <v>1099</v>
      </c>
      <c r="B413" s="52">
        <v>90</v>
      </c>
      <c r="C413" s="302" t="s">
        <v>885</v>
      </c>
      <c r="D413" s="59" t="s">
        <v>1176</v>
      </c>
      <c r="E413" s="52"/>
      <c r="F413" s="51">
        <v>2</v>
      </c>
      <c r="G413" s="459"/>
      <c r="H413" s="1032" t="s">
        <v>1712</v>
      </c>
      <c r="I413" s="68" t="s">
        <v>1548</v>
      </c>
      <c r="J413" s="54" t="s">
        <v>886</v>
      </c>
      <c r="K413" s="542" t="s">
        <v>1170</v>
      </c>
      <c r="L413" s="361">
        <v>56.036000000000001</v>
      </c>
      <c r="M413" s="92"/>
      <c r="N413" s="122">
        <v>39448</v>
      </c>
      <c r="O413" s="943">
        <f>5*L413</f>
        <v>280.18</v>
      </c>
      <c r="P413" s="51" t="s">
        <v>1486</v>
      </c>
      <c r="Q413" s="981"/>
      <c r="R413" s="52"/>
      <c r="S413" s="52"/>
      <c r="T413" s="1055"/>
      <c r="U413" s="1055"/>
      <c r="V413" s="385"/>
      <c r="W413" s="383"/>
      <c r="X413" s="542"/>
      <c r="Y413" s="51" t="s">
        <v>1365</v>
      </c>
      <c r="Z413" s="51" t="s">
        <v>835</v>
      </c>
      <c r="AA413" s="875">
        <v>39379</v>
      </c>
      <c r="AB413" s="1071"/>
      <c r="AC413" s="854"/>
      <c r="AD413" s="854"/>
      <c r="AE413" s="854"/>
      <c r="AF413" s="854"/>
      <c r="AG413" s="92"/>
      <c r="AH413" s="92"/>
      <c r="AI413" s="361"/>
      <c r="AJ413" s="1081"/>
      <c r="AK413" s="92"/>
      <c r="AL413" s="92"/>
      <c r="AM413" s="92"/>
      <c r="AN413" s="92"/>
      <c r="AO413" s="52"/>
      <c r="AP413" s="463"/>
      <c r="AQ413" s="51"/>
    </row>
    <row r="414" spans="1:43" s="489" customFormat="1" ht="39" customHeight="1">
      <c r="A414" s="459" t="s">
        <v>917</v>
      </c>
      <c r="B414" s="52">
        <v>94</v>
      </c>
      <c r="C414" s="302" t="s">
        <v>915</v>
      </c>
      <c r="D414" s="59" t="s">
        <v>1176</v>
      </c>
      <c r="E414" s="52"/>
      <c r="F414" s="51">
        <v>2</v>
      </c>
      <c r="G414" s="459"/>
      <c r="H414" s="1032" t="s">
        <v>1712</v>
      </c>
      <c r="I414" s="60" t="s">
        <v>1548</v>
      </c>
      <c r="J414" s="51" t="s">
        <v>235</v>
      </c>
      <c r="K414" s="542" t="s">
        <v>920</v>
      </c>
      <c r="L414" s="361">
        <v>175.00200000000001</v>
      </c>
      <c r="M414" s="92"/>
      <c r="N414" s="122">
        <v>39448</v>
      </c>
      <c r="O414" s="943">
        <f>5*L414</f>
        <v>875.01</v>
      </c>
      <c r="P414" s="51" t="s">
        <v>1732</v>
      </c>
      <c r="Q414" s="981"/>
      <c r="R414" s="52"/>
      <c r="S414" s="52"/>
      <c r="T414" s="1055"/>
      <c r="U414" s="1055"/>
      <c r="V414" s="385"/>
      <c r="W414" s="383"/>
      <c r="X414" s="542"/>
      <c r="Y414" s="51" t="s">
        <v>1141</v>
      </c>
      <c r="Z414" s="51" t="s">
        <v>341</v>
      </c>
      <c r="AA414" s="875">
        <v>39399</v>
      </c>
      <c r="AB414" s="1071"/>
      <c r="AC414" s="854"/>
      <c r="AD414" s="854"/>
      <c r="AE414" s="854"/>
      <c r="AF414" s="854"/>
      <c r="AG414" s="92"/>
      <c r="AH414" s="92"/>
      <c r="AI414" s="361"/>
      <c r="AJ414" s="1081"/>
      <c r="AK414" s="92"/>
      <c r="AL414" s="92"/>
      <c r="AM414" s="92"/>
      <c r="AN414" s="92"/>
      <c r="AO414" s="52"/>
      <c r="AP414" s="463"/>
      <c r="AQ414" s="782"/>
    </row>
    <row r="415" spans="1:43" s="489" customFormat="1" ht="25.5" customHeight="1">
      <c r="A415" s="459" t="s">
        <v>918</v>
      </c>
      <c r="B415" s="52">
        <v>95</v>
      </c>
      <c r="C415" s="302" t="s">
        <v>919</v>
      </c>
      <c r="D415" s="59" t="s">
        <v>1176</v>
      </c>
      <c r="E415" s="52"/>
      <c r="F415" s="51">
        <v>2</v>
      </c>
      <c r="G415" s="459"/>
      <c r="H415" s="1032" t="s">
        <v>1712</v>
      </c>
      <c r="I415" s="60" t="s">
        <v>1548</v>
      </c>
      <c r="J415" s="51" t="s">
        <v>235</v>
      </c>
      <c r="K415" s="542" t="s">
        <v>920</v>
      </c>
      <c r="L415" s="361">
        <v>133.673</v>
      </c>
      <c r="M415" s="92"/>
      <c r="N415" s="122">
        <v>39448</v>
      </c>
      <c r="O415" s="943">
        <f>5*L415</f>
        <v>668.36500000000001</v>
      </c>
      <c r="P415" s="459" t="s">
        <v>1732</v>
      </c>
      <c r="Q415" s="981"/>
      <c r="R415" s="52"/>
      <c r="S415" s="52"/>
      <c r="T415" s="1055"/>
      <c r="U415" s="1055"/>
      <c r="V415" s="385"/>
      <c r="W415" s="383"/>
      <c r="X415" s="542"/>
      <c r="Y415" s="51" t="s">
        <v>1141</v>
      </c>
      <c r="Z415" s="51" t="s">
        <v>341</v>
      </c>
      <c r="AA415" s="875">
        <v>39399</v>
      </c>
      <c r="AB415" s="1071"/>
      <c r="AC415" s="854"/>
      <c r="AD415" s="854"/>
      <c r="AE415" s="854"/>
      <c r="AF415" s="854"/>
      <c r="AG415" s="92"/>
      <c r="AH415" s="92"/>
      <c r="AI415" s="361"/>
      <c r="AJ415" s="1081"/>
      <c r="AK415" s="92"/>
      <c r="AL415" s="92"/>
      <c r="AM415" s="92"/>
      <c r="AN415" s="92"/>
      <c r="AO415" s="52"/>
      <c r="AP415" s="463"/>
      <c r="AQ415" s="51"/>
    </row>
    <row r="416" spans="1:43" s="489" customFormat="1" ht="12.75" customHeight="1">
      <c r="A416" s="459" t="s">
        <v>666</v>
      </c>
      <c r="B416" s="52">
        <v>96</v>
      </c>
      <c r="C416" s="302" t="s">
        <v>957</v>
      </c>
      <c r="D416" s="55" t="s">
        <v>1176</v>
      </c>
      <c r="E416" s="52"/>
      <c r="F416" s="51">
        <v>2</v>
      </c>
      <c r="G416" s="459"/>
      <c r="H416" s="1032" t="s">
        <v>1712</v>
      </c>
      <c r="I416" s="60" t="s">
        <v>1548</v>
      </c>
      <c r="J416" s="51" t="s">
        <v>235</v>
      </c>
      <c r="K416" s="542" t="s">
        <v>920</v>
      </c>
      <c r="L416" s="361">
        <v>131.27600000000001</v>
      </c>
      <c r="M416" s="92"/>
      <c r="N416" s="122">
        <v>39448</v>
      </c>
      <c r="O416" s="943">
        <f>5*L416</f>
        <v>656.38000000000011</v>
      </c>
      <c r="P416" s="459" t="s">
        <v>1732</v>
      </c>
      <c r="Q416" s="981"/>
      <c r="R416" s="52"/>
      <c r="S416" s="52"/>
      <c r="T416" s="1055"/>
      <c r="U416" s="1055"/>
      <c r="V416" s="385"/>
      <c r="W416" s="1059"/>
      <c r="X416" s="1061"/>
      <c r="Y416" s="51" t="s">
        <v>1141</v>
      </c>
      <c r="Z416" s="51" t="s">
        <v>341</v>
      </c>
      <c r="AA416" s="875">
        <v>39399</v>
      </c>
      <c r="AB416" s="1071"/>
      <c r="AC416" s="854"/>
      <c r="AD416" s="854"/>
      <c r="AE416" s="854"/>
      <c r="AF416" s="854"/>
      <c r="AG416" s="92"/>
      <c r="AH416" s="92"/>
      <c r="AI416" s="361"/>
      <c r="AJ416" s="1081"/>
      <c r="AK416" s="92"/>
      <c r="AL416" s="92"/>
      <c r="AM416" s="92"/>
      <c r="AN416" s="92"/>
      <c r="AO416" s="52"/>
      <c r="AP416" s="463"/>
      <c r="AQ416" s="51"/>
    </row>
    <row r="417" spans="1:43" s="489" customFormat="1" ht="27.75" customHeight="1">
      <c r="A417" s="459" t="s">
        <v>1233</v>
      </c>
      <c r="B417" s="52">
        <v>103</v>
      </c>
      <c r="C417" s="302" t="s">
        <v>1244</v>
      </c>
      <c r="D417" s="55" t="s">
        <v>1176</v>
      </c>
      <c r="E417" s="52"/>
      <c r="F417" s="51">
        <v>2</v>
      </c>
      <c r="G417" s="459"/>
      <c r="H417" s="1032" t="s">
        <v>1712</v>
      </c>
      <c r="I417" s="60" t="s">
        <v>1735</v>
      </c>
      <c r="J417" s="51"/>
      <c r="K417" s="542" t="s">
        <v>1245</v>
      </c>
      <c r="L417" s="361">
        <v>76.150000000000006</v>
      </c>
      <c r="M417" s="92"/>
      <c r="N417" s="122">
        <v>39448</v>
      </c>
      <c r="O417" s="943">
        <f>L417*5</f>
        <v>380.75</v>
      </c>
      <c r="P417" s="459" t="s">
        <v>1732</v>
      </c>
      <c r="Q417" s="981"/>
      <c r="R417" s="52"/>
      <c r="S417" s="52"/>
      <c r="T417" s="1055"/>
      <c r="U417" s="1055"/>
      <c r="V417" s="385"/>
      <c r="W417" s="1059"/>
      <c r="X417" s="542"/>
      <c r="Y417" s="51" t="s">
        <v>481</v>
      </c>
      <c r="Z417" s="51" t="s">
        <v>1246</v>
      </c>
      <c r="AA417" s="875">
        <v>39431</v>
      </c>
      <c r="AB417" s="1071"/>
      <c r="AC417" s="854"/>
      <c r="AD417" s="854"/>
      <c r="AE417" s="854"/>
      <c r="AF417" s="854"/>
      <c r="AG417" s="92"/>
      <c r="AH417" s="92">
        <f>36.12+2*30.1</f>
        <v>96.32</v>
      </c>
      <c r="AI417" s="361"/>
      <c r="AJ417" s="1081"/>
      <c r="AK417" s="92"/>
      <c r="AL417" s="92"/>
      <c r="AM417" s="92"/>
      <c r="AN417" s="92"/>
      <c r="AO417" s="52"/>
      <c r="AP417" s="463"/>
      <c r="AQ417" s="51"/>
    </row>
    <row r="418" spans="1:43" s="489" customFormat="1" ht="12.75" customHeight="1">
      <c r="A418" s="459" t="s">
        <v>1239</v>
      </c>
      <c r="B418" s="52">
        <v>106</v>
      </c>
      <c r="C418" s="302" t="s">
        <v>1287</v>
      </c>
      <c r="D418" s="55" t="s">
        <v>1176</v>
      </c>
      <c r="E418" s="52"/>
      <c r="F418" s="51">
        <v>2</v>
      </c>
      <c r="G418" s="459"/>
      <c r="H418" s="1032" t="s">
        <v>1712</v>
      </c>
      <c r="I418" s="60" t="s">
        <v>1488</v>
      </c>
      <c r="J418" s="51" t="s">
        <v>1288</v>
      </c>
      <c r="K418" s="542" t="s">
        <v>1289</v>
      </c>
      <c r="L418" s="361">
        <v>75.010000000000005</v>
      </c>
      <c r="M418" s="92"/>
      <c r="N418" s="122">
        <v>39448</v>
      </c>
      <c r="O418" s="943">
        <f>L418*5</f>
        <v>375.05</v>
      </c>
      <c r="P418" s="459" t="s">
        <v>896</v>
      </c>
      <c r="Q418" s="981"/>
      <c r="R418" s="52"/>
      <c r="S418" s="52"/>
      <c r="T418" s="1055"/>
      <c r="U418" s="1055"/>
      <c r="V418" s="385"/>
      <c r="W418" s="1059"/>
      <c r="X418" s="542"/>
      <c r="Y418" s="51" t="s">
        <v>1084</v>
      </c>
      <c r="Z418" s="51" t="s">
        <v>1290</v>
      </c>
      <c r="AA418" s="875">
        <v>39438</v>
      </c>
      <c r="AB418" s="1071"/>
      <c r="AC418" s="854"/>
      <c r="AD418" s="854"/>
      <c r="AE418" s="854"/>
      <c r="AF418" s="854"/>
      <c r="AG418" s="92"/>
      <c r="AH418" s="92"/>
      <c r="AI418" s="361"/>
      <c r="AJ418" s="1081"/>
      <c r="AK418" s="92"/>
      <c r="AL418" s="92"/>
      <c r="AM418" s="92"/>
      <c r="AN418" s="92"/>
      <c r="AO418" s="52"/>
      <c r="AP418" s="463"/>
      <c r="AQ418" s="51"/>
    </row>
    <row r="419" spans="1:43" s="489" customFormat="1" ht="27" customHeight="1">
      <c r="A419" s="459" t="s">
        <v>67</v>
      </c>
      <c r="B419" s="52">
        <v>111</v>
      </c>
      <c r="C419" s="302" t="s">
        <v>118</v>
      </c>
      <c r="D419" s="55" t="s">
        <v>1176</v>
      </c>
      <c r="E419" s="52"/>
      <c r="F419" s="51">
        <v>2</v>
      </c>
      <c r="G419" s="459"/>
      <c r="H419" s="1032" t="s">
        <v>1712</v>
      </c>
      <c r="I419" s="535" t="s">
        <v>2318</v>
      </c>
      <c r="J419" s="51"/>
      <c r="K419" s="542" t="s">
        <v>119</v>
      </c>
      <c r="L419" s="943">
        <f>O419/5</f>
        <v>233.0232</v>
      </c>
      <c r="M419" s="92"/>
      <c r="N419" s="122">
        <v>39448</v>
      </c>
      <c r="O419" s="943">
        <v>1165.116</v>
      </c>
      <c r="P419" s="459" t="s">
        <v>1731</v>
      </c>
      <c r="Q419" s="981"/>
      <c r="R419" s="52"/>
      <c r="S419" s="52"/>
      <c r="T419" s="1055"/>
      <c r="U419" s="1055"/>
      <c r="V419" s="385"/>
      <c r="W419" s="1059"/>
      <c r="X419" s="542"/>
      <c r="Y419" s="51" t="s">
        <v>1084</v>
      </c>
      <c r="Z419" s="51" t="s">
        <v>120</v>
      </c>
      <c r="AA419" s="875">
        <v>39463</v>
      </c>
      <c r="AB419" s="1071"/>
      <c r="AC419" s="854"/>
      <c r="AD419" s="854"/>
      <c r="AE419" s="854"/>
      <c r="AF419" s="854"/>
      <c r="AG419" s="92"/>
      <c r="AH419" s="92"/>
      <c r="AI419" s="361"/>
      <c r="AJ419" s="1081"/>
      <c r="AK419" s="92"/>
      <c r="AL419" s="92"/>
      <c r="AM419" s="92"/>
      <c r="AN419" s="92"/>
      <c r="AO419" s="52"/>
      <c r="AP419" s="463"/>
      <c r="AQ419" s="782"/>
    </row>
    <row r="420" spans="1:43" s="489" customFormat="1" ht="27.75" customHeight="1">
      <c r="A420" s="459" t="s">
        <v>68</v>
      </c>
      <c r="B420" s="52">
        <v>112</v>
      </c>
      <c r="C420" s="302" t="s">
        <v>121</v>
      </c>
      <c r="D420" s="55" t="s">
        <v>1176</v>
      </c>
      <c r="E420" s="52"/>
      <c r="F420" s="51">
        <v>2</v>
      </c>
      <c r="G420" s="459"/>
      <c r="H420" s="1032" t="s">
        <v>1712</v>
      </c>
      <c r="I420" s="68" t="s">
        <v>1548</v>
      </c>
      <c r="J420" s="51" t="s">
        <v>123</v>
      </c>
      <c r="K420" s="542" t="s">
        <v>122</v>
      </c>
      <c r="L420" s="361">
        <v>30.591000000000001</v>
      </c>
      <c r="M420" s="92"/>
      <c r="N420" s="122">
        <v>39448</v>
      </c>
      <c r="O420" s="943">
        <f t="shared" ref="O420:O425" si="23">L420*5</f>
        <v>152.95500000000001</v>
      </c>
      <c r="P420" s="459" t="s">
        <v>1486</v>
      </c>
      <c r="Q420" s="981"/>
      <c r="R420" s="52"/>
      <c r="S420" s="52"/>
      <c r="T420" s="1055"/>
      <c r="U420" s="1055"/>
      <c r="V420" s="385"/>
      <c r="W420" s="1059"/>
      <c r="X420" s="542"/>
      <c r="Y420" s="51" t="s">
        <v>1084</v>
      </c>
      <c r="Z420" s="51" t="s">
        <v>75</v>
      </c>
      <c r="AA420" s="875">
        <v>39472</v>
      </c>
      <c r="AB420" s="1071"/>
      <c r="AC420" s="854"/>
      <c r="AD420" s="854"/>
      <c r="AE420" s="854"/>
      <c r="AF420" s="854"/>
      <c r="AG420" s="92"/>
      <c r="AH420" s="92"/>
      <c r="AI420" s="361"/>
      <c r="AJ420" s="1081"/>
      <c r="AK420" s="92"/>
      <c r="AL420" s="92"/>
      <c r="AM420" s="92"/>
      <c r="AN420" s="92"/>
      <c r="AO420" s="52" t="s">
        <v>136</v>
      </c>
      <c r="AP420" s="463"/>
      <c r="AQ420" s="51"/>
    </row>
    <row r="421" spans="1:43" s="489" customFormat="1" ht="30" customHeight="1">
      <c r="A421" s="459" t="s">
        <v>167</v>
      </c>
      <c r="B421" s="52">
        <v>114</v>
      </c>
      <c r="C421" s="302" t="s">
        <v>169</v>
      </c>
      <c r="D421" s="55" t="s">
        <v>1176</v>
      </c>
      <c r="E421" s="52" t="s">
        <v>175</v>
      </c>
      <c r="F421" s="51">
        <v>2</v>
      </c>
      <c r="G421" s="459"/>
      <c r="H421" s="1032" t="s">
        <v>1712</v>
      </c>
      <c r="I421" s="68" t="s">
        <v>1548</v>
      </c>
      <c r="J421" s="51" t="s">
        <v>886</v>
      </c>
      <c r="K421" s="796" t="s">
        <v>2001</v>
      </c>
      <c r="L421" s="361">
        <v>181.84700000000001</v>
      </c>
      <c r="M421" s="92"/>
      <c r="N421" s="122">
        <v>39448</v>
      </c>
      <c r="O421" s="943">
        <f t="shared" si="23"/>
        <v>909.23500000000001</v>
      </c>
      <c r="P421" s="459" t="s">
        <v>1486</v>
      </c>
      <c r="Q421" s="981"/>
      <c r="R421" s="52"/>
      <c r="S421" s="52"/>
      <c r="T421" s="1055"/>
      <c r="U421" s="1055"/>
      <c r="V421" s="385"/>
      <c r="W421" s="1059"/>
      <c r="X421" s="542"/>
      <c r="Y421" s="51" t="s">
        <v>969</v>
      </c>
      <c r="Z421" s="51" t="s">
        <v>835</v>
      </c>
      <c r="AA421" s="875">
        <v>39497</v>
      </c>
      <c r="AB421" s="1071"/>
      <c r="AC421" s="854"/>
      <c r="AD421" s="854"/>
      <c r="AE421" s="854"/>
      <c r="AF421" s="854"/>
      <c r="AG421" s="361"/>
      <c r="AH421" s="92">
        <v>45</v>
      </c>
      <c r="AI421" s="361">
        <f>350000/AH421</f>
        <v>7777.7777777777774</v>
      </c>
      <c r="AJ421" s="943"/>
      <c r="AK421" s="361"/>
      <c r="AL421" s="361"/>
      <c r="AM421" s="361"/>
      <c r="AN421" s="361"/>
      <c r="AO421" s="52"/>
      <c r="AP421" s="463"/>
      <c r="AQ421" s="51"/>
    </row>
    <row r="422" spans="1:43" s="489" customFormat="1" ht="24.75" customHeight="1">
      <c r="A422" s="459" t="s">
        <v>195</v>
      </c>
      <c r="B422" s="52">
        <v>120</v>
      </c>
      <c r="C422" s="302" t="s">
        <v>230</v>
      </c>
      <c r="D422" s="55" t="s">
        <v>1176</v>
      </c>
      <c r="E422" s="52" t="s">
        <v>233</v>
      </c>
      <c r="F422" s="51">
        <v>2</v>
      </c>
      <c r="G422" s="459"/>
      <c r="H422" s="1032" t="s">
        <v>1712</v>
      </c>
      <c r="I422" s="68" t="s">
        <v>981</v>
      </c>
      <c r="J422" s="51" t="s">
        <v>1173</v>
      </c>
      <c r="K422" s="542" t="s">
        <v>4</v>
      </c>
      <c r="L422" s="361">
        <v>552.41999999999996</v>
      </c>
      <c r="M422" s="92"/>
      <c r="N422" s="122">
        <v>39448</v>
      </c>
      <c r="O422" s="943">
        <f t="shared" si="23"/>
        <v>2762.1</v>
      </c>
      <c r="P422" s="459" t="s">
        <v>1732</v>
      </c>
      <c r="Q422" s="981"/>
      <c r="R422" s="52"/>
      <c r="S422" s="52"/>
      <c r="T422" s="1055"/>
      <c r="U422" s="1055"/>
      <c r="V422" s="385"/>
      <c r="W422" s="1059"/>
      <c r="X422" s="1061"/>
      <c r="Y422" s="51" t="s">
        <v>231</v>
      </c>
      <c r="Z422" s="51" t="s">
        <v>232</v>
      </c>
      <c r="AA422" s="875">
        <v>39520</v>
      </c>
      <c r="AB422" s="1071"/>
      <c r="AC422" s="854"/>
      <c r="AD422" s="854"/>
      <c r="AE422" s="854"/>
      <c r="AF422" s="854"/>
      <c r="AG422" s="92"/>
      <c r="AH422" s="92">
        <v>0</v>
      </c>
      <c r="AI422" s="361"/>
      <c r="AJ422" s="1081"/>
      <c r="AK422" s="92"/>
      <c r="AL422" s="92"/>
      <c r="AM422" s="92"/>
      <c r="AN422" s="92"/>
      <c r="AO422" s="52"/>
      <c r="AP422" s="463"/>
      <c r="AQ422" s="782"/>
    </row>
    <row r="423" spans="1:43" s="489" customFormat="1" ht="27" customHeight="1">
      <c r="A423" s="459" t="s">
        <v>196</v>
      </c>
      <c r="B423" s="52">
        <v>121</v>
      </c>
      <c r="C423" s="302" t="s">
        <v>234</v>
      </c>
      <c r="D423" s="55" t="s">
        <v>1176</v>
      </c>
      <c r="E423" s="52" t="s">
        <v>236</v>
      </c>
      <c r="F423" s="51">
        <v>2</v>
      </c>
      <c r="G423" s="459"/>
      <c r="H423" s="1032" t="s">
        <v>1712</v>
      </c>
      <c r="I423" s="68" t="s">
        <v>1548</v>
      </c>
      <c r="J423" s="51" t="s">
        <v>235</v>
      </c>
      <c r="K423" s="542" t="s">
        <v>746</v>
      </c>
      <c r="L423" s="361">
        <v>325.21100000000001</v>
      </c>
      <c r="M423" s="92"/>
      <c r="N423" s="122">
        <v>39448</v>
      </c>
      <c r="O423" s="943">
        <f t="shared" si="23"/>
        <v>1626.0550000000001</v>
      </c>
      <c r="P423" s="459" t="s">
        <v>1732</v>
      </c>
      <c r="Q423" s="981"/>
      <c r="R423" s="52"/>
      <c r="S423" s="52"/>
      <c r="T423" s="1055"/>
      <c r="U423" s="1055"/>
      <c r="V423" s="385"/>
      <c r="W423" s="1059"/>
      <c r="X423" s="542"/>
      <c r="Y423" s="51" t="s">
        <v>1084</v>
      </c>
      <c r="Z423" s="51" t="s">
        <v>515</v>
      </c>
      <c r="AA423" s="875">
        <v>39525</v>
      </c>
      <c r="AB423" s="875"/>
      <c r="AC423" s="854"/>
      <c r="AD423" s="854"/>
      <c r="AE423" s="854"/>
      <c r="AF423" s="854"/>
      <c r="AG423" s="92"/>
      <c r="AH423" s="92">
        <v>0</v>
      </c>
      <c r="AI423" s="361"/>
      <c r="AJ423" s="1081"/>
      <c r="AK423" s="92"/>
      <c r="AL423" s="92"/>
      <c r="AM423" s="92"/>
      <c r="AN423" s="92"/>
      <c r="AO423" s="52"/>
      <c r="AP423" s="463"/>
      <c r="AQ423" s="51"/>
    </row>
    <row r="424" spans="1:43" s="489" customFormat="1" ht="27" customHeight="1">
      <c r="A424" s="459" t="s">
        <v>206</v>
      </c>
      <c r="B424" s="52">
        <v>122</v>
      </c>
      <c r="C424" s="302" t="s">
        <v>238</v>
      </c>
      <c r="D424" s="55" t="s">
        <v>1176</v>
      </c>
      <c r="E424" s="52" t="s">
        <v>237</v>
      </c>
      <c r="F424" s="51">
        <v>2</v>
      </c>
      <c r="G424" s="459"/>
      <c r="H424" s="1032" t="s">
        <v>1712</v>
      </c>
      <c r="I424" s="68" t="s">
        <v>1548</v>
      </c>
      <c r="J424" s="51" t="s">
        <v>235</v>
      </c>
      <c r="K424" s="542" t="s">
        <v>746</v>
      </c>
      <c r="L424" s="361">
        <v>1150.2908</v>
      </c>
      <c r="M424" s="92"/>
      <c r="N424" s="122">
        <v>39448</v>
      </c>
      <c r="O424" s="943">
        <f t="shared" si="23"/>
        <v>5751.4539999999997</v>
      </c>
      <c r="P424" s="459" t="s">
        <v>1732</v>
      </c>
      <c r="Q424" s="981"/>
      <c r="R424" s="52"/>
      <c r="S424" s="52"/>
      <c r="T424" s="1055"/>
      <c r="U424" s="1055"/>
      <c r="V424" s="385"/>
      <c r="W424" s="1059"/>
      <c r="X424" s="542"/>
      <c r="Y424" s="51" t="s">
        <v>1084</v>
      </c>
      <c r="Z424" s="51" t="s">
        <v>515</v>
      </c>
      <c r="AA424" s="875">
        <v>39525</v>
      </c>
      <c r="AB424" s="1071"/>
      <c r="AC424" s="854"/>
      <c r="AD424" s="854"/>
      <c r="AE424" s="854"/>
      <c r="AF424" s="854"/>
      <c r="AG424" s="92"/>
      <c r="AH424" s="92">
        <v>0</v>
      </c>
      <c r="AI424" s="361"/>
      <c r="AJ424" s="1081"/>
      <c r="AK424" s="92"/>
      <c r="AL424" s="92"/>
      <c r="AM424" s="92"/>
      <c r="AN424" s="92"/>
      <c r="AO424" s="52"/>
      <c r="AP424" s="463"/>
      <c r="AQ424" s="51"/>
    </row>
    <row r="425" spans="1:43" s="489" customFormat="1" ht="27.75" customHeight="1">
      <c r="A425" s="459" t="s">
        <v>207</v>
      </c>
      <c r="B425" s="52">
        <v>123</v>
      </c>
      <c r="C425" s="302" t="s">
        <v>239</v>
      </c>
      <c r="D425" s="59" t="s">
        <v>1176</v>
      </c>
      <c r="E425" s="52" t="s">
        <v>240</v>
      </c>
      <c r="F425" s="51">
        <v>2</v>
      </c>
      <c r="G425" s="459"/>
      <c r="H425" s="1032" t="s">
        <v>1712</v>
      </c>
      <c r="I425" s="68" t="s">
        <v>1548</v>
      </c>
      <c r="J425" s="51" t="s">
        <v>235</v>
      </c>
      <c r="K425" s="542" t="s">
        <v>746</v>
      </c>
      <c r="L425" s="361">
        <v>2115.0892600000002</v>
      </c>
      <c r="M425" s="92"/>
      <c r="N425" s="122">
        <v>39448</v>
      </c>
      <c r="O425" s="943">
        <f t="shared" si="23"/>
        <v>10575.446300000001</v>
      </c>
      <c r="P425" s="459" t="s">
        <v>1732</v>
      </c>
      <c r="Q425" s="981"/>
      <c r="R425" s="52"/>
      <c r="S425" s="52"/>
      <c r="T425" s="1055"/>
      <c r="U425" s="1055"/>
      <c r="V425" s="385"/>
      <c r="W425" s="383"/>
      <c r="X425" s="542"/>
      <c r="Y425" s="51" t="s">
        <v>1084</v>
      </c>
      <c r="Z425" s="51" t="s">
        <v>515</v>
      </c>
      <c r="AA425" s="875">
        <v>39525</v>
      </c>
      <c r="AB425" s="1071"/>
      <c r="AC425" s="854"/>
      <c r="AD425" s="854"/>
      <c r="AE425" s="854"/>
      <c r="AF425" s="854"/>
      <c r="AG425" s="92"/>
      <c r="AH425" s="92">
        <v>0</v>
      </c>
      <c r="AI425" s="361"/>
      <c r="AJ425" s="1081"/>
      <c r="AK425" s="92"/>
      <c r="AL425" s="92"/>
      <c r="AM425" s="92"/>
      <c r="AN425" s="92"/>
      <c r="AO425" s="52"/>
      <c r="AP425" s="463"/>
      <c r="AQ425" s="51"/>
    </row>
    <row r="426" spans="1:43" s="489" customFormat="1" ht="25.5" customHeight="1">
      <c r="A426" s="459" t="s">
        <v>208</v>
      </c>
      <c r="B426" s="52">
        <v>124</v>
      </c>
      <c r="C426" s="302" t="s">
        <v>241</v>
      </c>
      <c r="D426" s="59" t="s">
        <v>1176</v>
      </c>
      <c r="E426" s="52" t="s">
        <v>242</v>
      </c>
      <c r="F426" s="51">
        <v>2</v>
      </c>
      <c r="G426" s="459"/>
      <c r="H426" s="1032" t="s">
        <v>1712</v>
      </c>
      <c r="I426" s="68" t="s">
        <v>981</v>
      </c>
      <c r="J426" s="51" t="s">
        <v>1173</v>
      </c>
      <c r="K426" s="542" t="s">
        <v>4</v>
      </c>
      <c r="L426" s="361">
        <v>2235.864</v>
      </c>
      <c r="M426" s="92"/>
      <c r="N426" s="122">
        <v>39814</v>
      </c>
      <c r="O426" s="943">
        <f>L426*4</f>
        <v>8943.4560000000001</v>
      </c>
      <c r="P426" s="459" t="s">
        <v>1732</v>
      </c>
      <c r="Q426" s="981"/>
      <c r="R426" s="52"/>
      <c r="S426" s="52"/>
      <c r="T426" s="1055"/>
      <c r="U426" s="1055"/>
      <c r="V426" s="385"/>
      <c r="W426" s="383"/>
      <c r="X426" s="542"/>
      <c r="Y426" s="51" t="s">
        <v>979</v>
      </c>
      <c r="Z426" s="51" t="s">
        <v>243</v>
      </c>
      <c r="AA426" s="875">
        <v>39525</v>
      </c>
      <c r="AB426" s="1071"/>
      <c r="AC426" s="854"/>
      <c r="AD426" s="854"/>
      <c r="AE426" s="854"/>
      <c r="AF426" s="854"/>
      <c r="AG426" s="92"/>
      <c r="AH426" s="92">
        <v>0</v>
      </c>
      <c r="AI426" s="361"/>
      <c r="AJ426" s="1081"/>
      <c r="AK426" s="92"/>
      <c r="AL426" s="92"/>
      <c r="AM426" s="92"/>
      <c r="AN426" s="92"/>
      <c r="AO426" s="52"/>
      <c r="AP426" s="463"/>
      <c r="AQ426" s="51"/>
    </row>
    <row r="427" spans="1:43" s="489" customFormat="1" ht="27.75" customHeight="1">
      <c r="A427" s="459" t="s">
        <v>209</v>
      </c>
      <c r="B427" s="52">
        <v>125</v>
      </c>
      <c r="C427" s="302" t="s">
        <v>244</v>
      </c>
      <c r="D427" s="59" t="s">
        <v>1176</v>
      </c>
      <c r="E427" s="52" t="s">
        <v>245</v>
      </c>
      <c r="F427" s="51">
        <v>2</v>
      </c>
      <c r="G427" s="459"/>
      <c r="H427" s="1032" t="s">
        <v>1712</v>
      </c>
      <c r="I427" s="68" t="s">
        <v>981</v>
      </c>
      <c r="J427" s="51" t="s">
        <v>1173</v>
      </c>
      <c r="K427" s="542" t="s">
        <v>4</v>
      </c>
      <c r="L427" s="361">
        <v>528.91399999999999</v>
      </c>
      <c r="M427" s="92"/>
      <c r="N427" s="122">
        <v>39814</v>
      </c>
      <c r="O427" s="943">
        <f>L427*4</f>
        <v>2115.6559999999999</v>
      </c>
      <c r="P427" s="51" t="s">
        <v>1732</v>
      </c>
      <c r="Q427" s="981"/>
      <c r="R427" s="52"/>
      <c r="S427" s="52"/>
      <c r="T427" s="1055"/>
      <c r="U427" s="1055"/>
      <c r="V427" s="385"/>
      <c r="W427" s="383"/>
      <c r="X427" s="542"/>
      <c r="Y427" s="51" t="s">
        <v>979</v>
      </c>
      <c r="Z427" s="51" t="s">
        <v>243</v>
      </c>
      <c r="AA427" s="875">
        <v>39525</v>
      </c>
      <c r="AB427" s="1071"/>
      <c r="AC427" s="854"/>
      <c r="AD427" s="854"/>
      <c r="AE427" s="854"/>
      <c r="AF427" s="854"/>
      <c r="AG427" s="92"/>
      <c r="AH427" s="92">
        <v>0</v>
      </c>
      <c r="AI427" s="361"/>
      <c r="AJ427" s="1081"/>
      <c r="AK427" s="92"/>
      <c r="AL427" s="92"/>
      <c r="AM427" s="92"/>
      <c r="AN427" s="92"/>
      <c r="AO427" s="52"/>
      <c r="AP427" s="463"/>
      <c r="AQ427" s="51"/>
    </row>
    <row r="428" spans="1:43" s="489" customFormat="1" ht="12.75" customHeight="1">
      <c r="A428" s="459" t="s">
        <v>126</v>
      </c>
      <c r="B428" s="52">
        <v>132</v>
      </c>
      <c r="C428" s="302" t="s">
        <v>131</v>
      </c>
      <c r="D428" s="59" t="s">
        <v>1176</v>
      </c>
      <c r="E428" s="52" t="s">
        <v>240</v>
      </c>
      <c r="F428" s="51">
        <v>2</v>
      </c>
      <c r="G428" s="459"/>
      <c r="H428" s="1032" t="s">
        <v>1712</v>
      </c>
      <c r="I428" s="535" t="s">
        <v>2399</v>
      </c>
      <c r="J428" s="63" t="s">
        <v>133</v>
      </c>
      <c r="K428" s="796" t="s">
        <v>2001</v>
      </c>
      <c r="L428" s="361">
        <v>267.72699999999998</v>
      </c>
      <c r="M428" s="92"/>
      <c r="N428" s="122">
        <v>39814</v>
      </c>
      <c r="O428" s="943">
        <f>L428*4</f>
        <v>1070.9079999999999</v>
      </c>
      <c r="P428" s="459" t="s">
        <v>1731</v>
      </c>
      <c r="Q428" s="981"/>
      <c r="R428" s="52"/>
      <c r="S428" s="52"/>
      <c r="T428" s="1055"/>
      <c r="U428" s="1055"/>
      <c r="V428" s="385"/>
      <c r="W428" s="383"/>
      <c r="X428" s="542"/>
      <c r="Y428" s="51" t="s">
        <v>1084</v>
      </c>
      <c r="Z428" s="51" t="s">
        <v>908</v>
      </c>
      <c r="AA428" s="875">
        <v>39549</v>
      </c>
      <c r="AB428" s="1071"/>
      <c r="AC428" s="854"/>
      <c r="AD428" s="854"/>
      <c r="AE428" s="854"/>
      <c r="AF428" s="854"/>
      <c r="AG428" s="92"/>
      <c r="AH428" s="92">
        <v>0</v>
      </c>
      <c r="AI428" s="361"/>
      <c r="AJ428" s="1081"/>
      <c r="AK428" s="92"/>
      <c r="AL428" s="92"/>
      <c r="AM428" s="92"/>
      <c r="AN428" s="92"/>
      <c r="AO428" s="52"/>
      <c r="AP428" s="463"/>
      <c r="AQ428" s="51"/>
    </row>
    <row r="429" spans="1:43" s="489" customFormat="1" ht="28.5" customHeight="1">
      <c r="A429" s="459" t="s">
        <v>1146</v>
      </c>
      <c r="B429" s="52">
        <v>138</v>
      </c>
      <c r="C429" s="302" t="s">
        <v>1158</v>
      </c>
      <c r="D429" s="59" t="s">
        <v>1176</v>
      </c>
      <c r="E429" s="52" t="s">
        <v>1159</v>
      </c>
      <c r="F429" s="51">
        <v>2</v>
      </c>
      <c r="G429" s="459"/>
      <c r="H429" s="1032" t="s">
        <v>1712</v>
      </c>
      <c r="I429" s="68" t="s">
        <v>1467</v>
      </c>
      <c r="J429" s="51" t="s">
        <v>1155</v>
      </c>
      <c r="K429" s="542" t="s">
        <v>1160</v>
      </c>
      <c r="L429" s="361">
        <v>17.920999999999999</v>
      </c>
      <c r="M429" s="92">
        <v>6.5</v>
      </c>
      <c r="N429" s="122">
        <v>39448</v>
      </c>
      <c r="O429" s="943">
        <f>L429*5</f>
        <v>89.60499999999999</v>
      </c>
      <c r="P429" s="51" t="s">
        <v>1731</v>
      </c>
      <c r="Q429" s="981"/>
      <c r="R429" s="52"/>
      <c r="S429" s="52"/>
      <c r="T429" s="1055"/>
      <c r="U429" s="1055"/>
      <c r="V429" s="385"/>
      <c r="W429" s="383"/>
      <c r="X429" s="542"/>
      <c r="Y429" s="51" t="s">
        <v>30</v>
      </c>
      <c r="Z429" s="51" t="s">
        <v>263</v>
      </c>
      <c r="AA429" s="875">
        <v>39582</v>
      </c>
      <c r="AB429" s="1071"/>
      <c r="AC429" s="854"/>
      <c r="AD429" s="854"/>
      <c r="AE429" s="854"/>
      <c r="AF429" s="854"/>
      <c r="AG429" s="92"/>
      <c r="AH429" s="92">
        <v>0</v>
      </c>
      <c r="AI429" s="361"/>
      <c r="AJ429" s="1081"/>
      <c r="AK429" s="92"/>
      <c r="AL429" s="92"/>
      <c r="AM429" s="92"/>
      <c r="AN429" s="92"/>
      <c r="AO429" s="52" t="s">
        <v>1154</v>
      </c>
      <c r="AP429" s="463"/>
      <c r="AQ429" s="51"/>
    </row>
    <row r="430" spans="1:43" s="489" customFormat="1" ht="27" customHeight="1">
      <c r="A430" s="459" t="s">
        <v>1149</v>
      </c>
      <c r="B430" s="52">
        <v>142</v>
      </c>
      <c r="C430" s="302" t="s">
        <v>861</v>
      </c>
      <c r="D430" s="59" t="s">
        <v>1176</v>
      </c>
      <c r="E430" s="52" t="s">
        <v>862</v>
      </c>
      <c r="F430" s="51">
        <v>2</v>
      </c>
      <c r="G430" s="459"/>
      <c r="H430" s="1032" t="s">
        <v>1712</v>
      </c>
      <c r="I430" s="68" t="s">
        <v>1548</v>
      </c>
      <c r="J430" s="54" t="s">
        <v>886</v>
      </c>
      <c r="K430" s="542" t="s">
        <v>1381</v>
      </c>
      <c r="L430" s="361">
        <f>O430/3</f>
        <v>362.84933333333339</v>
      </c>
      <c r="M430" s="92">
        <v>0</v>
      </c>
      <c r="N430" s="122">
        <v>40452</v>
      </c>
      <c r="O430" s="943">
        <f>157.96+516.392+414.196</f>
        <v>1088.5480000000002</v>
      </c>
      <c r="P430" s="51" t="s">
        <v>1486</v>
      </c>
      <c r="Q430" s="981"/>
      <c r="R430" s="52"/>
      <c r="S430" s="52"/>
      <c r="T430" s="1055"/>
      <c r="U430" s="1055"/>
      <c r="V430" s="385"/>
      <c r="W430" s="383"/>
      <c r="X430" s="542"/>
      <c r="Y430" s="51" t="s">
        <v>1513</v>
      </c>
      <c r="Z430" s="51" t="s">
        <v>863</v>
      </c>
      <c r="AA430" s="875">
        <v>39610</v>
      </c>
      <c r="AB430" s="1071"/>
      <c r="AC430" s="854"/>
      <c r="AD430" s="854"/>
      <c r="AE430" s="854"/>
      <c r="AF430" s="854"/>
      <c r="AG430" s="92"/>
      <c r="AH430" s="92"/>
      <c r="AI430" s="361"/>
      <c r="AJ430" s="1081"/>
      <c r="AK430" s="92"/>
      <c r="AL430" s="92"/>
      <c r="AM430" s="92"/>
      <c r="AN430" s="92"/>
      <c r="AO430" s="52"/>
      <c r="AP430" s="463"/>
      <c r="AQ430" s="51"/>
    </row>
    <row r="431" spans="1:43" s="489" customFormat="1" ht="30" customHeight="1">
      <c r="A431" s="459" t="s">
        <v>421</v>
      </c>
      <c r="B431" s="52">
        <v>145</v>
      </c>
      <c r="C431" s="302" t="s">
        <v>1541</v>
      </c>
      <c r="D431" s="59" t="s">
        <v>1176</v>
      </c>
      <c r="E431" s="52" t="s">
        <v>1543</v>
      </c>
      <c r="F431" s="51">
        <v>2</v>
      </c>
      <c r="G431" s="459"/>
      <c r="H431" s="1032" t="s">
        <v>1712</v>
      </c>
      <c r="I431" s="68" t="s">
        <v>1489</v>
      </c>
      <c r="J431" s="461" t="s">
        <v>1710</v>
      </c>
      <c r="K431" s="542" t="s">
        <v>689</v>
      </c>
      <c r="L431" s="361">
        <f>O431/4</f>
        <v>179.91175000000001</v>
      </c>
      <c r="M431" s="92">
        <v>0</v>
      </c>
      <c r="N431" s="122">
        <v>39814</v>
      </c>
      <c r="O431" s="943">
        <v>719.64700000000005</v>
      </c>
      <c r="P431" s="51" t="s">
        <v>1314</v>
      </c>
      <c r="Q431" s="981"/>
      <c r="R431" s="52"/>
      <c r="S431" s="52"/>
      <c r="T431" s="1055"/>
      <c r="U431" s="1055"/>
      <c r="V431" s="385"/>
      <c r="W431" s="383"/>
      <c r="X431" s="542"/>
      <c r="Y431" s="51" t="s">
        <v>1545</v>
      </c>
      <c r="Z431" s="51" t="s">
        <v>1544</v>
      </c>
      <c r="AA431" s="875">
        <v>39626</v>
      </c>
      <c r="AB431" s="1071"/>
      <c r="AC431" s="854"/>
      <c r="AD431" s="854"/>
      <c r="AE431" s="854"/>
      <c r="AF431" s="854"/>
      <c r="AG431" s="92"/>
      <c r="AH431" s="92">
        <v>0</v>
      </c>
      <c r="AI431" s="361"/>
      <c r="AJ431" s="1081"/>
      <c r="AK431" s="92"/>
      <c r="AL431" s="92"/>
      <c r="AM431" s="92"/>
      <c r="AN431" s="92"/>
      <c r="AO431" s="52"/>
      <c r="AP431" s="463"/>
      <c r="AQ431" s="51"/>
    </row>
    <row r="432" spans="1:43" s="489" customFormat="1" ht="27.75" customHeight="1">
      <c r="A432" s="459" t="s">
        <v>1498</v>
      </c>
      <c r="B432" s="51">
        <v>152</v>
      </c>
      <c r="C432" s="64" t="s">
        <v>1503</v>
      </c>
      <c r="D432" s="63" t="s">
        <v>1176</v>
      </c>
      <c r="E432" s="51" t="s">
        <v>89</v>
      </c>
      <c r="F432" s="51">
        <v>2</v>
      </c>
      <c r="G432" s="51"/>
      <c r="H432" s="1032" t="s">
        <v>1712</v>
      </c>
      <c r="I432" s="68" t="s">
        <v>1735</v>
      </c>
      <c r="J432" s="461" t="s">
        <v>90</v>
      </c>
      <c r="K432" s="56" t="s">
        <v>1245</v>
      </c>
      <c r="L432" s="361">
        <v>147.47499999999999</v>
      </c>
      <c r="M432" s="92">
        <v>0</v>
      </c>
      <c r="N432" s="122">
        <v>40179</v>
      </c>
      <c r="O432" s="943">
        <f>L432*3</f>
        <v>442.42499999999995</v>
      </c>
      <c r="P432" s="459" t="s">
        <v>1486</v>
      </c>
      <c r="Q432" s="888"/>
      <c r="R432" s="51"/>
      <c r="S432" s="51"/>
      <c r="T432" s="757"/>
      <c r="U432" s="757"/>
      <c r="V432" s="361"/>
      <c r="W432" s="382"/>
      <c r="X432" s="56"/>
      <c r="Y432" s="51" t="s">
        <v>1084</v>
      </c>
      <c r="Z432" s="51" t="s">
        <v>764</v>
      </c>
      <c r="AA432" s="945">
        <v>39668</v>
      </c>
      <c r="AB432" s="752"/>
      <c r="AC432" s="122"/>
      <c r="AD432" s="122"/>
      <c r="AE432" s="752"/>
      <c r="AF432" s="122"/>
      <c r="AG432" s="92"/>
      <c r="AH432" s="92">
        <v>110</v>
      </c>
      <c r="AI432" s="361">
        <v>6500</v>
      </c>
      <c r="AJ432" s="943"/>
      <c r="AK432" s="361"/>
      <c r="AL432" s="361"/>
      <c r="AM432" s="92"/>
      <c r="AN432" s="361"/>
      <c r="AO432" s="51"/>
      <c r="AP432" s="463"/>
      <c r="AQ432" s="782"/>
    </row>
    <row r="433" spans="1:43" s="489" customFormat="1" ht="12.75" customHeight="1">
      <c r="A433" s="459" t="s">
        <v>1499</v>
      </c>
      <c r="B433" s="51">
        <v>153</v>
      </c>
      <c r="C433" s="64" t="s">
        <v>1504</v>
      </c>
      <c r="D433" s="63" t="s">
        <v>1176</v>
      </c>
      <c r="E433" s="51" t="s">
        <v>91</v>
      </c>
      <c r="F433" s="51">
        <v>2</v>
      </c>
      <c r="G433" s="459"/>
      <c r="H433" s="1032" t="s">
        <v>1712</v>
      </c>
      <c r="I433" s="68" t="s">
        <v>1735</v>
      </c>
      <c r="J433" s="330" t="s">
        <v>90</v>
      </c>
      <c r="K433" s="56" t="s">
        <v>1245</v>
      </c>
      <c r="L433" s="361">
        <f>O433/2</f>
        <v>728.86300000000006</v>
      </c>
      <c r="M433" s="92">
        <v>0</v>
      </c>
      <c r="N433" s="122">
        <v>40544</v>
      </c>
      <c r="O433" s="943">
        <v>1457.7260000000001</v>
      </c>
      <c r="P433" s="459" t="s">
        <v>1486</v>
      </c>
      <c r="Q433" s="888"/>
      <c r="R433" s="51"/>
      <c r="S433" s="51"/>
      <c r="T433" s="757"/>
      <c r="U433" s="757"/>
      <c r="V433" s="361"/>
      <c r="W433" s="382"/>
      <c r="X433" s="56"/>
      <c r="Y433" s="51" t="s">
        <v>1084</v>
      </c>
      <c r="Z433" s="51" t="s">
        <v>764</v>
      </c>
      <c r="AA433" s="752">
        <v>39668</v>
      </c>
      <c r="AB433" s="758"/>
      <c r="AC433" s="122"/>
      <c r="AD433" s="122"/>
      <c r="AE433" s="752"/>
      <c r="AF433" s="122"/>
      <c r="AG433" s="92"/>
      <c r="AH433" s="92">
        <f>2340-1800</f>
        <v>540</v>
      </c>
      <c r="AI433" s="361">
        <f>(7858000-4374000)/AH433</f>
        <v>6451.8518518518522</v>
      </c>
      <c r="AJ433" s="943"/>
      <c r="AK433" s="361"/>
      <c r="AL433" s="361"/>
      <c r="AM433" s="92"/>
      <c r="AN433" s="361"/>
      <c r="AO433" s="51"/>
      <c r="AP433" s="463"/>
      <c r="AQ433" s="51"/>
    </row>
    <row r="434" spans="1:43" s="489" customFormat="1" ht="12.75" customHeight="1">
      <c r="A434" s="459" t="s">
        <v>1500</v>
      </c>
      <c r="B434" s="51">
        <v>154</v>
      </c>
      <c r="C434" s="64" t="s">
        <v>401</v>
      </c>
      <c r="D434" s="63" t="s">
        <v>1176</v>
      </c>
      <c r="E434" s="51" t="s">
        <v>92</v>
      </c>
      <c r="F434" s="51">
        <v>2</v>
      </c>
      <c r="G434" s="459"/>
      <c r="H434" s="1032" t="s">
        <v>1712</v>
      </c>
      <c r="I434" s="68" t="s">
        <v>1548</v>
      </c>
      <c r="J434" s="51" t="s">
        <v>235</v>
      </c>
      <c r="K434" s="56" t="s">
        <v>746</v>
      </c>
      <c r="L434" s="361">
        <v>819.30899999999997</v>
      </c>
      <c r="M434" s="92">
        <v>0</v>
      </c>
      <c r="N434" s="122">
        <v>39814</v>
      </c>
      <c r="O434" s="943">
        <f>L434*4</f>
        <v>3277.2359999999999</v>
      </c>
      <c r="P434" s="52" t="s">
        <v>728</v>
      </c>
      <c r="Q434" s="888"/>
      <c r="R434" s="51"/>
      <c r="S434" s="51"/>
      <c r="T434" s="757"/>
      <c r="U434" s="757"/>
      <c r="V434" s="361"/>
      <c r="W434" s="382"/>
      <c r="X434" s="56"/>
      <c r="Y434" s="51" t="s">
        <v>1084</v>
      </c>
      <c r="Z434" s="51" t="s">
        <v>93</v>
      </c>
      <c r="AA434" s="752">
        <v>39673</v>
      </c>
      <c r="AB434" s="758"/>
      <c r="AC434" s="122"/>
      <c r="AD434" s="122"/>
      <c r="AE434" s="752"/>
      <c r="AF434" s="122"/>
      <c r="AG434" s="92"/>
      <c r="AH434" s="92">
        <v>0</v>
      </c>
      <c r="AI434" s="361"/>
      <c r="AJ434" s="943"/>
      <c r="AK434" s="361"/>
      <c r="AL434" s="361"/>
      <c r="AM434" s="92"/>
      <c r="AN434" s="361"/>
      <c r="AO434" s="51"/>
      <c r="AP434" s="463"/>
      <c r="AQ434" s="51"/>
    </row>
    <row r="435" spans="1:43" s="489" customFormat="1" ht="27.75" customHeight="1">
      <c r="A435" s="459" t="s">
        <v>575</v>
      </c>
      <c r="B435" s="51">
        <v>156</v>
      </c>
      <c r="C435" s="64" t="s">
        <v>576</v>
      </c>
      <c r="D435" s="63" t="s">
        <v>1176</v>
      </c>
      <c r="E435" s="51" t="s">
        <v>577</v>
      </c>
      <c r="F435" s="51">
        <v>2</v>
      </c>
      <c r="G435" s="51"/>
      <c r="H435" s="56" t="s">
        <v>1712</v>
      </c>
      <c r="I435" s="56" t="s">
        <v>981</v>
      </c>
      <c r="J435" s="1038" t="s">
        <v>1173</v>
      </c>
      <c r="K435" s="56" t="s">
        <v>4</v>
      </c>
      <c r="L435" s="361">
        <v>882.32</v>
      </c>
      <c r="M435" s="92">
        <v>0</v>
      </c>
      <c r="N435" s="122">
        <v>39448</v>
      </c>
      <c r="O435" s="943">
        <f>L435*5</f>
        <v>4411.6000000000004</v>
      </c>
      <c r="P435" s="51" t="s">
        <v>1732</v>
      </c>
      <c r="Q435" s="888"/>
      <c r="R435" s="51"/>
      <c r="S435" s="51"/>
      <c r="T435" s="757"/>
      <c r="U435" s="757"/>
      <c r="V435" s="361"/>
      <c r="W435" s="382"/>
      <c r="X435" s="56"/>
      <c r="Y435" s="51" t="s">
        <v>1366</v>
      </c>
      <c r="Z435" s="51" t="s">
        <v>515</v>
      </c>
      <c r="AA435" s="752">
        <v>39704</v>
      </c>
      <c r="AB435" s="758"/>
      <c r="AC435" s="122"/>
      <c r="AD435" s="122"/>
      <c r="AE435" s="752"/>
      <c r="AF435" s="122"/>
      <c r="AG435" s="92"/>
      <c r="AH435" s="92">
        <v>0</v>
      </c>
      <c r="AI435" s="361"/>
      <c r="AJ435" s="943"/>
      <c r="AK435" s="361"/>
      <c r="AL435" s="361"/>
      <c r="AM435" s="92"/>
      <c r="AN435" s="361"/>
      <c r="AO435" s="51"/>
      <c r="AP435" s="463"/>
      <c r="AQ435" s="51"/>
    </row>
    <row r="436" spans="1:43" s="489" customFormat="1" ht="30.75" customHeight="1">
      <c r="A436" s="459" t="s">
        <v>181</v>
      </c>
      <c r="B436" s="51">
        <v>157</v>
      </c>
      <c r="C436" s="64" t="s">
        <v>182</v>
      </c>
      <c r="D436" s="63" t="s">
        <v>1176</v>
      </c>
      <c r="E436" s="51" t="s">
        <v>184</v>
      </c>
      <c r="F436" s="51">
        <v>2</v>
      </c>
      <c r="G436" s="51"/>
      <c r="H436" s="1032" t="s">
        <v>1712</v>
      </c>
      <c r="I436" s="68" t="s">
        <v>1735</v>
      </c>
      <c r="J436" s="1038" t="s">
        <v>186</v>
      </c>
      <c r="K436" s="56" t="s">
        <v>185</v>
      </c>
      <c r="L436" s="361">
        <v>400</v>
      </c>
      <c r="M436" s="92">
        <v>0</v>
      </c>
      <c r="N436" s="122">
        <v>39448</v>
      </c>
      <c r="O436" s="943">
        <f>L436*5</f>
        <v>2000</v>
      </c>
      <c r="P436" s="459" t="s">
        <v>1486</v>
      </c>
      <c r="Q436" s="888"/>
      <c r="R436" s="51"/>
      <c r="S436" s="51"/>
      <c r="T436" s="757"/>
      <c r="U436" s="757"/>
      <c r="V436" s="361"/>
      <c r="W436" s="382"/>
      <c r="X436" s="56"/>
      <c r="Y436" s="51" t="s">
        <v>183</v>
      </c>
      <c r="Z436" s="51" t="s">
        <v>187</v>
      </c>
      <c r="AA436" s="752">
        <v>39708</v>
      </c>
      <c r="AB436" s="758"/>
      <c r="AC436" s="122"/>
      <c r="AD436" s="122"/>
      <c r="AE436" s="752"/>
      <c r="AF436" s="122"/>
      <c r="AG436" s="92"/>
      <c r="AH436" s="92"/>
      <c r="AI436" s="361"/>
      <c r="AJ436" s="943"/>
      <c r="AK436" s="361"/>
      <c r="AL436" s="361"/>
      <c r="AM436" s="92"/>
      <c r="AN436" s="361"/>
      <c r="AO436" s="51"/>
      <c r="AP436" s="463"/>
      <c r="AQ436" s="51"/>
    </row>
    <row r="437" spans="1:43" s="464" customFormat="1" ht="30" customHeight="1">
      <c r="A437" s="459" t="s">
        <v>1000</v>
      </c>
      <c r="B437" s="63">
        <v>159</v>
      </c>
      <c r="C437" s="64" t="s">
        <v>1001</v>
      </c>
      <c r="D437" s="54" t="s">
        <v>1176</v>
      </c>
      <c r="E437" s="51" t="s">
        <v>188</v>
      </c>
      <c r="F437" s="51">
        <v>2</v>
      </c>
      <c r="G437" s="51"/>
      <c r="H437" s="61" t="s">
        <v>1712</v>
      </c>
      <c r="I437" s="68" t="s">
        <v>981</v>
      </c>
      <c r="J437" s="461" t="s">
        <v>1173</v>
      </c>
      <c r="K437" s="56" t="s">
        <v>4</v>
      </c>
      <c r="L437" s="361">
        <v>2101.0300000000002</v>
      </c>
      <c r="M437" s="92">
        <v>0</v>
      </c>
      <c r="N437" s="864">
        <v>39995</v>
      </c>
      <c r="O437" s="361">
        <f>L437*3.5</f>
        <v>7353.6050000000005</v>
      </c>
      <c r="P437" s="459" t="s">
        <v>1732</v>
      </c>
      <c r="Q437" s="888"/>
      <c r="R437" s="51"/>
      <c r="S437" s="51"/>
      <c r="T437" s="757"/>
      <c r="U437" s="122"/>
      <c r="V437" s="361"/>
      <c r="W437" s="382"/>
      <c r="X437" s="870"/>
      <c r="Y437" s="51" t="s">
        <v>1366</v>
      </c>
      <c r="Z437" s="63" t="s">
        <v>515</v>
      </c>
      <c r="AA437" s="752">
        <v>39717</v>
      </c>
      <c r="AB437" s="752"/>
      <c r="AC437" s="891"/>
      <c r="AD437" s="122"/>
      <c r="AE437" s="752"/>
      <c r="AF437" s="122"/>
      <c r="AG437" s="92"/>
      <c r="AH437" s="92">
        <v>0</v>
      </c>
      <c r="AI437" s="361"/>
      <c r="AJ437" s="361"/>
      <c r="AK437" s="361"/>
      <c r="AL437" s="361"/>
      <c r="AM437" s="92"/>
      <c r="AN437" s="361"/>
      <c r="AO437" s="51"/>
      <c r="AP437" s="463"/>
      <c r="AQ437" s="782"/>
    </row>
    <row r="438" spans="1:43" s="489" customFormat="1" ht="12.75" customHeight="1">
      <c r="A438" s="459" t="s">
        <v>1250</v>
      </c>
      <c r="B438" s="51">
        <v>164</v>
      </c>
      <c r="C438" s="64" t="s">
        <v>428</v>
      </c>
      <c r="D438" s="63" t="s">
        <v>1176</v>
      </c>
      <c r="E438" s="51" t="s">
        <v>70</v>
      </c>
      <c r="F438" s="51">
        <v>2</v>
      </c>
      <c r="G438" s="459"/>
      <c r="H438" s="1032" t="s">
        <v>1712</v>
      </c>
      <c r="I438" s="68" t="s">
        <v>971</v>
      </c>
      <c r="J438" s="1038" t="s">
        <v>268</v>
      </c>
      <c r="K438" s="56" t="s">
        <v>680</v>
      </c>
      <c r="L438" s="361">
        <v>189</v>
      </c>
      <c r="M438" s="92">
        <v>0</v>
      </c>
      <c r="N438" s="122">
        <v>40544</v>
      </c>
      <c r="O438" s="943">
        <f>L438*2</f>
        <v>378</v>
      </c>
      <c r="P438" s="51" t="s">
        <v>1486</v>
      </c>
      <c r="Q438" s="888"/>
      <c r="R438" s="51"/>
      <c r="S438" s="51"/>
      <c r="T438" s="757"/>
      <c r="U438" s="757"/>
      <c r="V438" s="361"/>
      <c r="W438" s="382"/>
      <c r="X438" s="56"/>
      <c r="Y438" s="51" t="s">
        <v>1084</v>
      </c>
      <c r="Z438" s="51" t="s">
        <v>1473</v>
      </c>
      <c r="AA438" s="752">
        <v>39767</v>
      </c>
      <c r="AB438" s="758"/>
      <c r="AC438" s="122"/>
      <c r="AD438" s="122"/>
      <c r="AE438" s="752"/>
      <c r="AF438" s="122"/>
      <c r="AG438" s="92"/>
      <c r="AH438" s="92">
        <v>100</v>
      </c>
      <c r="AI438" s="361">
        <f>350000/AH438</f>
        <v>3500</v>
      </c>
      <c r="AJ438" s="943"/>
      <c r="AK438" s="361"/>
      <c r="AL438" s="361"/>
      <c r="AM438" s="92"/>
      <c r="AN438" s="361"/>
      <c r="AO438" s="51"/>
      <c r="AP438" s="463"/>
      <c r="AQ438" s="782"/>
    </row>
    <row r="439" spans="1:43" s="489" customFormat="1" ht="27" customHeight="1">
      <c r="A439" s="459" t="s">
        <v>1251</v>
      </c>
      <c r="B439" s="51">
        <v>165</v>
      </c>
      <c r="C439" s="64" t="s">
        <v>429</v>
      </c>
      <c r="D439" s="63" t="s">
        <v>1176</v>
      </c>
      <c r="E439" s="51" t="s">
        <v>1253</v>
      </c>
      <c r="F439" s="51">
        <v>2</v>
      </c>
      <c r="G439" s="51"/>
      <c r="H439" s="1032" t="s">
        <v>1712</v>
      </c>
      <c r="I439" s="68" t="s">
        <v>971</v>
      </c>
      <c r="J439" s="330" t="s">
        <v>268</v>
      </c>
      <c r="K439" s="56" t="s">
        <v>680</v>
      </c>
      <c r="L439" s="361">
        <f>O439/5</f>
        <v>225.41199999999998</v>
      </c>
      <c r="M439" s="92">
        <v>130</v>
      </c>
      <c r="N439" s="122">
        <v>39692</v>
      </c>
      <c r="O439" s="943">
        <f>5.562+16.739+227.863+438.448*2</f>
        <v>1127.06</v>
      </c>
      <c r="P439" s="51" t="s">
        <v>1486</v>
      </c>
      <c r="Q439" s="888"/>
      <c r="R439" s="51"/>
      <c r="S439" s="51"/>
      <c r="T439" s="757"/>
      <c r="U439" s="757"/>
      <c r="V439" s="361"/>
      <c r="W439" s="382"/>
      <c r="X439" s="56"/>
      <c r="Y439" s="51" t="s">
        <v>1084</v>
      </c>
      <c r="Z439" s="51" t="s">
        <v>1473</v>
      </c>
      <c r="AA439" s="752">
        <v>39767</v>
      </c>
      <c r="AB439" s="758"/>
      <c r="AC439" s="122"/>
      <c r="AD439" s="122"/>
      <c r="AE439" s="752"/>
      <c r="AF439" s="122"/>
      <c r="AG439" s="92"/>
      <c r="AH439" s="92">
        <f>342+10</f>
        <v>352</v>
      </c>
      <c r="AI439" s="361">
        <f>812000/AH439</f>
        <v>2306.818181818182</v>
      </c>
      <c r="AJ439" s="943"/>
      <c r="AK439" s="361"/>
      <c r="AL439" s="361"/>
      <c r="AM439" s="92"/>
      <c r="AN439" s="361"/>
      <c r="AO439" s="51" t="s">
        <v>1254</v>
      </c>
      <c r="AP439" s="463"/>
      <c r="AQ439" s="51"/>
    </row>
    <row r="440" spans="1:43" s="489" customFormat="1" ht="12.75" customHeight="1">
      <c r="A440" s="459" t="s">
        <v>347</v>
      </c>
      <c r="B440" s="51">
        <v>167</v>
      </c>
      <c r="C440" s="64" t="s">
        <v>348</v>
      </c>
      <c r="D440" s="63" t="s">
        <v>1176</v>
      </c>
      <c r="E440" s="51" t="s">
        <v>350</v>
      </c>
      <c r="F440" s="51">
        <v>2</v>
      </c>
      <c r="G440" s="51"/>
      <c r="H440" s="56" t="s">
        <v>1712</v>
      </c>
      <c r="I440" s="68" t="s">
        <v>640</v>
      </c>
      <c r="J440" s="330"/>
      <c r="K440" s="56" t="s">
        <v>189</v>
      </c>
      <c r="L440" s="361">
        <v>197.38900000000001</v>
      </c>
      <c r="M440" s="92">
        <v>0</v>
      </c>
      <c r="N440" s="122">
        <v>39814</v>
      </c>
      <c r="O440" s="943">
        <f>L440*4</f>
        <v>789.55600000000004</v>
      </c>
      <c r="P440" s="51" t="s">
        <v>1486</v>
      </c>
      <c r="Q440" s="888"/>
      <c r="R440" s="51"/>
      <c r="S440" s="51"/>
      <c r="T440" s="757"/>
      <c r="U440" s="757"/>
      <c r="V440" s="361"/>
      <c r="W440" s="382"/>
      <c r="X440" s="56"/>
      <c r="Y440" s="51" t="s">
        <v>349</v>
      </c>
      <c r="Z440" s="51" t="s">
        <v>187</v>
      </c>
      <c r="AA440" s="752">
        <v>39772</v>
      </c>
      <c r="AB440" s="758"/>
      <c r="AC440" s="122"/>
      <c r="AD440" s="122"/>
      <c r="AE440" s="752"/>
      <c r="AF440" s="122"/>
      <c r="AG440" s="92"/>
      <c r="AH440" s="92">
        <v>0</v>
      </c>
      <c r="AI440" s="361"/>
      <c r="AJ440" s="943"/>
      <c r="AK440" s="361"/>
      <c r="AL440" s="361"/>
      <c r="AM440" s="92"/>
      <c r="AN440" s="361"/>
      <c r="AO440" s="51"/>
      <c r="AP440" s="463"/>
      <c r="AQ440" s="782"/>
    </row>
    <row r="441" spans="1:43" s="489" customFormat="1" ht="12.75" customHeight="1">
      <c r="A441" s="459" t="s">
        <v>467</v>
      </c>
      <c r="B441" s="51">
        <v>170</v>
      </c>
      <c r="C441" s="64" t="s">
        <v>468</v>
      </c>
      <c r="D441" s="63" t="s">
        <v>1176</v>
      </c>
      <c r="E441" s="51" t="s">
        <v>471</v>
      </c>
      <c r="F441" s="51">
        <v>2</v>
      </c>
      <c r="G441" s="51"/>
      <c r="H441" s="1032" t="s">
        <v>1712</v>
      </c>
      <c r="I441" s="68" t="s">
        <v>256</v>
      </c>
      <c r="J441" s="51" t="s">
        <v>469</v>
      </c>
      <c r="K441" s="56" t="s">
        <v>882</v>
      </c>
      <c r="L441" s="361">
        <v>53.005000000000003</v>
      </c>
      <c r="M441" s="92">
        <v>0</v>
      </c>
      <c r="N441" s="122">
        <v>39814</v>
      </c>
      <c r="O441" s="943">
        <f>L441*4</f>
        <v>212.02</v>
      </c>
      <c r="P441" s="51" t="s">
        <v>1486</v>
      </c>
      <c r="Q441" s="888"/>
      <c r="R441" s="51"/>
      <c r="S441" s="51"/>
      <c r="T441" s="757"/>
      <c r="U441" s="757"/>
      <c r="V441" s="361"/>
      <c r="W441" s="382"/>
      <c r="X441" s="56"/>
      <c r="Y441" s="51" t="s">
        <v>470</v>
      </c>
      <c r="Z441" s="51" t="s">
        <v>472</v>
      </c>
      <c r="AA441" s="752">
        <v>39813</v>
      </c>
      <c r="AB441" s="752"/>
      <c r="AC441" s="122"/>
      <c r="AD441" s="122"/>
      <c r="AE441" s="752"/>
      <c r="AF441" s="122"/>
      <c r="AG441" s="92"/>
      <c r="AH441" s="92">
        <v>0</v>
      </c>
      <c r="AI441" s="361"/>
      <c r="AJ441" s="943"/>
      <c r="AK441" s="361"/>
      <c r="AL441" s="361"/>
      <c r="AM441" s="92"/>
      <c r="AN441" s="361"/>
      <c r="AO441" s="51"/>
      <c r="AP441" s="463"/>
      <c r="AQ441" s="51"/>
    </row>
    <row r="442" spans="1:43" s="489" customFormat="1" ht="30" customHeight="1">
      <c r="A442" s="459" t="s">
        <v>1557</v>
      </c>
      <c r="B442" s="51">
        <v>176</v>
      </c>
      <c r="C442" s="64" t="s">
        <v>597</v>
      </c>
      <c r="D442" s="63" t="s">
        <v>1176</v>
      </c>
      <c r="E442" s="51" t="s">
        <v>1159</v>
      </c>
      <c r="F442" s="54">
        <v>2</v>
      </c>
      <c r="G442" s="51"/>
      <c r="H442" s="1032" t="s">
        <v>1712</v>
      </c>
      <c r="I442" s="68" t="s">
        <v>256</v>
      </c>
      <c r="J442" s="1038" t="s">
        <v>598</v>
      </c>
      <c r="K442" s="56" t="s">
        <v>882</v>
      </c>
      <c r="L442" s="361">
        <v>61.148000000000003</v>
      </c>
      <c r="M442" s="92">
        <v>0</v>
      </c>
      <c r="N442" s="122">
        <v>39814</v>
      </c>
      <c r="O442" s="943">
        <f>L442*4</f>
        <v>244.59200000000001</v>
      </c>
      <c r="P442" s="51" t="s">
        <v>1486</v>
      </c>
      <c r="Q442" s="888"/>
      <c r="R442" s="51"/>
      <c r="S442" s="51"/>
      <c r="T442" s="757"/>
      <c r="U442" s="757"/>
      <c r="V442" s="361"/>
      <c r="W442" s="382"/>
      <c r="X442" s="56"/>
      <c r="Y442" s="51" t="s">
        <v>470</v>
      </c>
      <c r="Z442" s="51" t="s">
        <v>599</v>
      </c>
      <c r="AA442" s="752">
        <v>39903</v>
      </c>
      <c r="AB442" s="758"/>
      <c r="AC442" s="122"/>
      <c r="AD442" s="122"/>
      <c r="AE442" s="122"/>
      <c r="AF442" s="122"/>
      <c r="AG442" s="92"/>
      <c r="AH442" s="92">
        <v>0</v>
      </c>
      <c r="AI442" s="361"/>
      <c r="AJ442" s="943"/>
      <c r="AK442" s="361"/>
      <c r="AL442" s="361"/>
      <c r="AM442" s="92"/>
      <c r="AN442" s="361"/>
      <c r="AO442" s="51" t="s">
        <v>600</v>
      </c>
      <c r="AP442" s="463"/>
      <c r="AQ442" s="51"/>
    </row>
    <row r="443" spans="1:43" s="489" customFormat="1" ht="27.75" customHeight="1">
      <c r="A443" s="459" t="s">
        <v>1570</v>
      </c>
      <c r="B443" s="51">
        <v>177</v>
      </c>
      <c r="C443" s="64" t="s">
        <v>1133</v>
      </c>
      <c r="D443" s="63" t="s">
        <v>1176</v>
      </c>
      <c r="E443" s="51" t="s">
        <v>1137</v>
      </c>
      <c r="F443" s="54">
        <v>2</v>
      </c>
      <c r="G443" s="51"/>
      <c r="H443" s="1032" t="s">
        <v>1712</v>
      </c>
      <c r="I443" s="68" t="s">
        <v>1467</v>
      </c>
      <c r="J443" s="461" t="s">
        <v>1136</v>
      </c>
      <c r="K443" s="56" t="s">
        <v>1134</v>
      </c>
      <c r="L443" s="361">
        <v>15.853</v>
      </c>
      <c r="M443" s="92">
        <v>0</v>
      </c>
      <c r="N443" s="122">
        <v>39934</v>
      </c>
      <c r="O443" s="943">
        <f>3.583*L443</f>
        <v>56.801299</v>
      </c>
      <c r="P443" s="52" t="s">
        <v>728</v>
      </c>
      <c r="Q443" s="888"/>
      <c r="R443" s="723"/>
      <c r="S443" s="723"/>
      <c r="T443" s="757"/>
      <c r="U443" s="757"/>
      <c r="V443" s="361"/>
      <c r="W443" s="382"/>
      <c r="X443" s="56"/>
      <c r="Y443" s="51" t="s">
        <v>30</v>
      </c>
      <c r="Z443" s="51" t="s">
        <v>1138</v>
      </c>
      <c r="AA443" s="752">
        <v>39906</v>
      </c>
      <c r="AB443" s="758"/>
      <c r="AC443" s="122"/>
      <c r="AD443" s="122"/>
      <c r="AE443" s="122"/>
      <c r="AF443" s="122"/>
      <c r="AG443" s="92"/>
      <c r="AH443" s="92">
        <v>0</v>
      </c>
      <c r="AI443" s="361"/>
      <c r="AJ443" s="943"/>
      <c r="AK443" s="361"/>
      <c r="AL443" s="361"/>
      <c r="AM443" s="92"/>
      <c r="AN443" s="361"/>
      <c r="AO443" s="51"/>
      <c r="AP443" s="463"/>
      <c r="AQ443" s="51"/>
    </row>
    <row r="444" spans="1:43" s="489" customFormat="1" ht="28.5" customHeight="1">
      <c r="A444" s="459" t="s">
        <v>97</v>
      </c>
      <c r="B444" s="51">
        <v>180</v>
      </c>
      <c r="C444" s="64" t="s">
        <v>99</v>
      </c>
      <c r="D444" s="63" t="s">
        <v>1176</v>
      </c>
      <c r="E444" s="51" t="s">
        <v>100</v>
      </c>
      <c r="F444" s="54">
        <v>2</v>
      </c>
      <c r="G444" s="51"/>
      <c r="H444" s="1032" t="s">
        <v>1712</v>
      </c>
      <c r="I444" s="68" t="s">
        <v>1735</v>
      </c>
      <c r="J444" s="461" t="s">
        <v>90</v>
      </c>
      <c r="K444" s="56" t="s">
        <v>1245</v>
      </c>
      <c r="L444" s="361">
        <v>539.66499999999996</v>
      </c>
      <c r="M444" s="92">
        <v>0</v>
      </c>
      <c r="N444" s="122">
        <v>40179</v>
      </c>
      <c r="O444" s="943">
        <f>L444*3</f>
        <v>1618.9949999999999</v>
      </c>
      <c r="P444" s="51" t="s">
        <v>1486</v>
      </c>
      <c r="Q444" s="888"/>
      <c r="R444" s="51"/>
      <c r="S444" s="51"/>
      <c r="T444" s="757"/>
      <c r="U444" s="757"/>
      <c r="V444" s="361"/>
      <c r="W444" s="382"/>
      <c r="X444" s="56"/>
      <c r="Y444" s="51" t="s">
        <v>1084</v>
      </c>
      <c r="Z444" s="51" t="s">
        <v>596</v>
      </c>
      <c r="AA444" s="752">
        <v>39931</v>
      </c>
      <c r="AB444" s="758"/>
      <c r="AC444" s="122"/>
      <c r="AD444" s="122"/>
      <c r="AE444" s="122"/>
      <c r="AF444" s="122"/>
      <c r="AG444" s="92"/>
      <c r="AH444" s="92">
        <v>410</v>
      </c>
      <c r="AI444" s="361">
        <f>2450000/AH444</f>
        <v>5975.6097560975613</v>
      </c>
      <c r="AJ444" s="943"/>
      <c r="AK444" s="361"/>
      <c r="AL444" s="361"/>
      <c r="AM444" s="92"/>
      <c r="AN444" s="361"/>
      <c r="AO444" s="51"/>
      <c r="AP444" s="463"/>
      <c r="AQ444" s="64"/>
    </row>
    <row r="445" spans="1:43" s="489" customFormat="1" ht="30" customHeight="1">
      <c r="A445" s="459" t="s">
        <v>98</v>
      </c>
      <c r="B445" s="51">
        <v>181</v>
      </c>
      <c r="C445" s="64" t="s">
        <v>101</v>
      </c>
      <c r="D445" s="63" t="s">
        <v>1176</v>
      </c>
      <c r="E445" s="51" t="s">
        <v>102</v>
      </c>
      <c r="F445" s="54">
        <v>2</v>
      </c>
      <c r="G445" s="51"/>
      <c r="H445" s="1032" t="s">
        <v>1712</v>
      </c>
      <c r="I445" s="68" t="s">
        <v>1082</v>
      </c>
      <c r="J445" s="330" t="s">
        <v>687</v>
      </c>
      <c r="K445" s="796" t="s">
        <v>2001</v>
      </c>
      <c r="L445" s="361">
        <v>41.177</v>
      </c>
      <c r="M445" s="92">
        <v>15</v>
      </c>
      <c r="N445" s="122">
        <v>39448</v>
      </c>
      <c r="O445" s="943">
        <f>L445*5</f>
        <v>205.88499999999999</v>
      </c>
      <c r="P445" s="51" t="s">
        <v>1486</v>
      </c>
      <c r="Q445" s="888"/>
      <c r="R445" s="51"/>
      <c r="S445" s="51"/>
      <c r="T445" s="757"/>
      <c r="U445" s="757"/>
      <c r="V445" s="361"/>
      <c r="W445" s="382"/>
      <c r="X445" s="56"/>
      <c r="Y445" s="51" t="s">
        <v>1365</v>
      </c>
      <c r="Z445" s="51" t="s">
        <v>835</v>
      </c>
      <c r="AA445" s="752">
        <v>39932</v>
      </c>
      <c r="AB445" s="758"/>
      <c r="AC445" s="122"/>
      <c r="AD445" s="122"/>
      <c r="AE445" s="122"/>
      <c r="AF445" s="122"/>
      <c r="AG445" s="92"/>
      <c r="AH445" s="92">
        <v>0</v>
      </c>
      <c r="AI445" s="361"/>
      <c r="AJ445" s="943"/>
      <c r="AK445" s="361"/>
      <c r="AL445" s="361"/>
      <c r="AM445" s="92"/>
      <c r="AN445" s="361"/>
      <c r="AO445" s="51"/>
      <c r="AP445" s="463"/>
      <c r="AQ445" s="782"/>
    </row>
    <row r="446" spans="1:43" s="489" customFormat="1" ht="12.75" customHeight="1">
      <c r="A446" s="459" t="s">
        <v>170</v>
      </c>
      <c r="B446" s="51">
        <v>183</v>
      </c>
      <c r="C446" s="302" t="s">
        <v>173</v>
      </c>
      <c r="D446" s="55" t="s">
        <v>1176</v>
      </c>
      <c r="E446" s="52" t="s">
        <v>174</v>
      </c>
      <c r="F446" s="54">
        <v>2</v>
      </c>
      <c r="G446" s="51"/>
      <c r="H446" s="56" t="s">
        <v>1712</v>
      </c>
      <c r="I446" s="68" t="s">
        <v>1082</v>
      </c>
      <c r="J446" s="51" t="s">
        <v>1357</v>
      </c>
      <c r="K446" s="796" t="s">
        <v>2001</v>
      </c>
      <c r="L446" s="361">
        <v>88.516999999999996</v>
      </c>
      <c r="M446" s="92">
        <v>16</v>
      </c>
      <c r="N446" s="122">
        <v>39448</v>
      </c>
      <c r="O446" s="943">
        <f>L446*5</f>
        <v>442.58499999999998</v>
      </c>
      <c r="P446" s="51" t="s">
        <v>1486</v>
      </c>
      <c r="Q446" s="981"/>
      <c r="R446" s="52"/>
      <c r="S446" s="52"/>
      <c r="T446" s="1055"/>
      <c r="U446" s="1055"/>
      <c r="V446" s="385"/>
      <c r="W446" s="383"/>
      <c r="X446" s="542"/>
      <c r="Y446" s="51" t="s">
        <v>1365</v>
      </c>
      <c r="Z446" s="51" t="s">
        <v>835</v>
      </c>
      <c r="AA446" s="875">
        <v>39942</v>
      </c>
      <c r="AB446" s="1071"/>
      <c r="AC446" s="854"/>
      <c r="AD446" s="854"/>
      <c r="AE446" s="854"/>
      <c r="AF446" s="854"/>
      <c r="AG446" s="92"/>
      <c r="AH446" s="92">
        <v>0</v>
      </c>
      <c r="AI446" s="361"/>
      <c r="AJ446" s="1081"/>
      <c r="AK446" s="92"/>
      <c r="AL446" s="92"/>
      <c r="AM446" s="92"/>
      <c r="AN446" s="92"/>
      <c r="AO446" s="52"/>
      <c r="AP446" s="463"/>
      <c r="AQ446" s="51"/>
    </row>
    <row r="447" spans="1:43" s="489" customFormat="1" ht="12.75" customHeight="1">
      <c r="A447" s="459" t="s">
        <v>552</v>
      </c>
      <c r="B447" s="52">
        <v>185</v>
      </c>
      <c r="C447" s="64" t="s">
        <v>553</v>
      </c>
      <c r="D447" s="54" t="s">
        <v>1176</v>
      </c>
      <c r="E447" s="51" t="s">
        <v>554</v>
      </c>
      <c r="F447" s="54">
        <v>2</v>
      </c>
      <c r="G447" s="51"/>
      <c r="H447" s="56" t="s">
        <v>1712</v>
      </c>
      <c r="I447" s="858" t="s">
        <v>911</v>
      </c>
      <c r="J447" s="51" t="s">
        <v>613</v>
      </c>
      <c r="K447" s="796" t="s">
        <v>2001</v>
      </c>
      <c r="L447" s="361">
        <v>298.08600000000001</v>
      </c>
      <c r="M447" s="92">
        <v>0</v>
      </c>
      <c r="N447" s="122">
        <v>39448</v>
      </c>
      <c r="O447" s="943">
        <f>L447*5</f>
        <v>1490.43</v>
      </c>
      <c r="P447" s="51" t="s">
        <v>1486</v>
      </c>
      <c r="Q447" s="888"/>
      <c r="R447" s="51"/>
      <c r="S447" s="51"/>
      <c r="T447" s="757"/>
      <c r="U447" s="757"/>
      <c r="V447" s="361"/>
      <c r="W447" s="382"/>
      <c r="X447" s="56"/>
      <c r="Y447" s="51" t="s">
        <v>1365</v>
      </c>
      <c r="Z447" s="51" t="s">
        <v>835</v>
      </c>
      <c r="AA447" s="752">
        <v>39991</v>
      </c>
      <c r="AB447" s="758"/>
      <c r="AC447" s="122"/>
      <c r="AD447" s="122"/>
      <c r="AE447" s="122"/>
      <c r="AF447" s="122"/>
      <c r="AG447" s="92"/>
      <c r="AH447" s="92"/>
      <c r="AI447" s="361"/>
      <c r="AJ447" s="1081"/>
      <c r="AK447" s="92"/>
      <c r="AL447" s="92"/>
      <c r="AM447" s="92"/>
      <c r="AN447" s="92"/>
      <c r="AO447" s="51"/>
      <c r="AP447" s="463"/>
      <c r="AQ447" s="51"/>
    </row>
    <row r="448" spans="1:43" s="489" customFormat="1" ht="27" customHeight="1">
      <c r="A448" s="459" t="s">
        <v>1633</v>
      </c>
      <c r="B448" s="51">
        <v>189</v>
      </c>
      <c r="C448" s="64" t="s">
        <v>1620</v>
      </c>
      <c r="D448" s="54" t="s">
        <v>1176</v>
      </c>
      <c r="E448" s="977" t="s">
        <v>1621</v>
      </c>
      <c r="F448" s="54">
        <v>2</v>
      </c>
      <c r="G448" s="51"/>
      <c r="H448" s="1032" t="s">
        <v>1712</v>
      </c>
      <c r="I448" s="68" t="s">
        <v>1548</v>
      </c>
      <c r="J448" s="51" t="s">
        <v>235</v>
      </c>
      <c r="K448" s="56" t="s">
        <v>746</v>
      </c>
      <c r="L448" s="361">
        <v>666.24699999999996</v>
      </c>
      <c r="M448" s="92">
        <v>0</v>
      </c>
      <c r="N448" s="122">
        <v>39508</v>
      </c>
      <c r="O448" s="943">
        <v>3125.3085299999998</v>
      </c>
      <c r="P448" s="51" t="s">
        <v>728</v>
      </c>
      <c r="Q448" s="888"/>
      <c r="R448" s="51"/>
      <c r="S448" s="51"/>
      <c r="T448" s="757"/>
      <c r="U448" s="757"/>
      <c r="V448" s="361"/>
      <c r="W448" s="382"/>
      <c r="X448" s="56"/>
      <c r="Y448" s="51" t="s">
        <v>1084</v>
      </c>
      <c r="Z448" s="51" t="s">
        <v>1622</v>
      </c>
      <c r="AA448" s="752">
        <v>40022</v>
      </c>
      <c r="AB448" s="758"/>
      <c r="AC448" s="122"/>
      <c r="AD448" s="122"/>
      <c r="AE448" s="122"/>
      <c r="AF448" s="122"/>
      <c r="AG448" s="92"/>
      <c r="AH448" s="92">
        <v>0</v>
      </c>
      <c r="AI448" s="361"/>
      <c r="AJ448" s="1081"/>
      <c r="AK448" s="92"/>
      <c r="AL448" s="92"/>
      <c r="AM448" s="92"/>
      <c r="AN448" s="92"/>
      <c r="AO448" s="51"/>
      <c r="AP448" s="514"/>
      <c r="AQ448" s="51"/>
    </row>
    <row r="449" spans="1:43" s="489" customFormat="1" ht="27" customHeight="1">
      <c r="A449" s="459" t="s">
        <v>655</v>
      </c>
      <c r="B449" s="52">
        <v>190</v>
      </c>
      <c r="C449" s="51" t="s">
        <v>657</v>
      </c>
      <c r="D449" s="54" t="s">
        <v>1176</v>
      </c>
      <c r="E449" s="51" t="s">
        <v>659</v>
      </c>
      <c r="F449" s="54">
        <v>2</v>
      </c>
      <c r="G449" s="51"/>
      <c r="H449" s="56" t="s">
        <v>1712</v>
      </c>
      <c r="I449" s="68" t="s">
        <v>911</v>
      </c>
      <c r="J449" s="51" t="s">
        <v>1546</v>
      </c>
      <c r="K449" s="796" t="s">
        <v>2001</v>
      </c>
      <c r="L449" s="361">
        <f>O449/2.25</f>
        <v>1046.4017777777779</v>
      </c>
      <c r="M449" s="92">
        <v>0</v>
      </c>
      <c r="N449" s="122">
        <v>40452</v>
      </c>
      <c r="O449" s="943">
        <v>2354.404</v>
      </c>
      <c r="P449" s="51" t="s">
        <v>728</v>
      </c>
      <c r="Q449" s="888"/>
      <c r="R449" s="51"/>
      <c r="S449" s="51"/>
      <c r="T449" s="757"/>
      <c r="U449" s="757"/>
      <c r="V449" s="361"/>
      <c r="W449" s="382"/>
      <c r="X449" s="56"/>
      <c r="Y449" s="459" t="s">
        <v>1365</v>
      </c>
      <c r="Z449" s="51" t="s">
        <v>835</v>
      </c>
      <c r="AA449" s="752">
        <v>40045</v>
      </c>
      <c r="AB449" s="758"/>
      <c r="AC449" s="122"/>
      <c r="AD449" s="122"/>
      <c r="AE449" s="122"/>
      <c r="AF449" s="122"/>
      <c r="AG449" s="92"/>
      <c r="AH449" s="92">
        <v>0</v>
      </c>
      <c r="AI449" s="361"/>
      <c r="AJ449" s="1081"/>
      <c r="AK449" s="92"/>
      <c r="AL449" s="92"/>
      <c r="AM449" s="92"/>
      <c r="AN449" s="92"/>
      <c r="AO449" s="51" t="s">
        <v>658</v>
      </c>
      <c r="AP449" s="514"/>
      <c r="AQ449" s="782"/>
    </row>
    <row r="450" spans="1:43" s="489" customFormat="1" ht="25.5" customHeight="1">
      <c r="A450" s="459" t="s">
        <v>741</v>
      </c>
      <c r="B450" s="52">
        <v>199</v>
      </c>
      <c r="C450" s="51" t="s">
        <v>745</v>
      </c>
      <c r="D450" s="54" t="s">
        <v>1176</v>
      </c>
      <c r="E450" s="51" t="s">
        <v>100</v>
      </c>
      <c r="F450" s="54">
        <v>2</v>
      </c>
      <c r="G450" s="51"/>
      <c r="H450" s="56" t="s">
        <v>1712</v>
      </c>
      <c r="I450" s="68" t="s">
        <v>1736</v>
      </c>
      <c r="J450" s="51" t="s">
        <v>973</v>
      </c>
      <c r="K450" s="796" t="s">
        <v>2001</v>
      </c>
      <c r="L450" s="361">
        <v>202.565</v>
      </c>
      <c r="M450" s="92">
        <v>0</v>
      </c>
      <c r="N450" s="122">
        <v>40391</v>
      </c>
      <c r="O450" s="361">
        <f>L450*2.42</f>
        <v>490.20729999999998</v>
      </c>
      <c r="P450" s="51" t="s">
        <v>728</v>
      </c>
      <c r="Q450" s="888"/>
      <c r="R450" s="361"/>
      <c r="S450" s="361"/>
      <c r="T450" s="757"/>
      <c r="U450" s="122"/>
      <c r="V450" s="361"/>
      <c r="W450" s="382"/>
      <c r="X450" s="56"/>
      <c r="Y450" s="51" t="s">
        <v>1618</v>
      </c>
      <c r="Z450" s="51" t="s">
        <v>1616</v>
      </c>
      <c r="AA450" s="752">
        <v>40114</v>
      </c>
      <c r="AB450" s="758"/>
      <c r="AC450" s="122"/>
      <c r="AD450" s="122"/>
      <c r="AE450" s="122"/>
      <c r="AF450" s="122"/>
      <c r="AG450" s="92"/>
      <c r="AH450" s="92">
        <v>0</v>
      </c>
      <c r="AI450" s="361"/>
      <c r="AJ450" s="92">
        <f>259/Exch!B11</f>
        <v>306.74367077663709</v>
      </c>
      <c r="AK450" s="92">
        <f>AJ450*1000/L450</f>
        <v>1514.2974885919932</v>
      </c>
      <c r="AL450" s="92"/>
      <c r="AM450" s="92"/>
      <c r="AN450" s="92"/>
      <c r="AO450" s="51"/>
      <c r="AP450" s="514"/>
      <c r="AQ450" s="51"/>
    </row>
    <row r="451" spans="1:43" s="474" customFormat="1" ht="25.5" customHeight="1">
      <c r="A451" s="459" t="s">
        <v>50</v>
      </c>
      <c r="B451" s="52">
        <v>206</v>
      </c>
      <c r="C451" s="51" t="s">
        <v>200</v>
      </c>
      <c r="D451" s="54" t="s">
        <v>1176</v>
      </c>
      <c r="E451" s="51" t="s">
        <v>242</v>
      </c>
      <c r="F451" s="63">
        <v>2</v>
      </c>
      <c r="G451" s="51"/>
      <c r="H451" s="56" t="s">
        <v>1712</v>
      </c>
      <c r="I451" s="68" t="s">
        <v>1735</v>
      </c>
      <c r="J451" s="51" t="s">
        <v>1105</v>
      </c>
      <c r="K451" s="56" t="s">
        <v>1245</v>
      </c>
      <c r="L451" s="361">
        <v>502.41199999999998</v>
      </c>
      <c r="M451" s="92">
        <v>0</v>
      </c>
      <c r="N451" s="122">
        <v>40544</v>
      </c>
      <c r="O451" s="361">
        <v>1005</v>
      </c>
      <c r="P451" s="51" t="s">
        <v>728</v>
      </c>
      <c r="Q451" s="888"/>
      <c r="R451" s="361"/>
      <c r="S451" s="361"/>
      <c r="T451" s="757"/>
      <c r="U451" s="122"/>
      <c r="V451" s="361"/>
      <c r="W451" s="382"/>
      <c r="X451" s="56"/>
      <c r="Y451" s="51" t="s">
        <v>1106</v>
      </c>
      <c r="Z451" s="51" t="s">
        <v>596</v>
      </c>
      <c r="AA451" s="1068">
        <v>40162</v>
      </c>
      <c r="AB451" s="758"/>
      <c r="AC451" s="122"/>
      <c r="AD451" s="122"/>
      <c r="AE451" s="122"/>
      <c r="AF451" s="122"/>
      <c r="AG451" s="92"/>
      <c r="AH451" s="1077">
        <v>410</v>
      </c>
      <c r="AI451" s="361">
        <f>2843890/AH451</f>
        <v>6936.3170731707314</v>
      </c>
      <c r="AJ451" s="1077">
        <f>462.6/Exch!B11</f>
        <v>547.87498880800126</v>
      </c>
      <c r="AK451" s="92"/>
      <c r="AL451" s="361"/>
      <c r="AM451" s="92"/>
      <c r="AN451" s="92"/>
      <c r="AO451" s="51"/>
      <c r="AP451" s="514"/>
      <c r="AQ451" s="51"/>
    </row>
    <row r="452" spans="1:43" s="474" customFormat="1" ht="29.25" customHeight="1">
      <c r="A452" s="459" t="s">
        <v>56</v>
      </c>
      <c r="B452" s="52">
        <v>210</v>
      </c>
      <c r="C452" s="51" t="s">
        <v>1111</v>
      </c>
      <c r="D452" s="54" t="s">
        <v>1176</v>
      </c>
      <c r="E452" s="51" t="s">
        <v>233</v>
      </c>
      <c r="F452" s="63">
        <v>2</v>
      </c>
      <c r="G452" s="51"/>
      <c r="H452" s="56" t="s">
        <v>1712</v>
      </c>
      <c r="I452" s="859" t="s">
        <v>1082</v>
      </c>
      <c r="J452" s="51" t="s">
        <v>1357</v>
      </c>
      <c r="K452" s="796" t="s">
        <v>2001</v>
      </c>
      <c r="L452" s="361">
        <v>34.954999999999998</v>
      </c>
      <c r="M452" s="92">
        <v>7</v>
      </c>
      <c r="N452" s="122">
        <v>39448</v>
      </c>
      <c r="O452" s="361">
        <v>174.77699999999999</v>
      </c>
      <c r="P452" s="51" t="s">
        <v>728</v>
      </c>
      <c r="Q452" s="888"/>
      <c r="R452" s="361"/>
      <c r="S452" s="361"/>
      <c r="T452" s="757"/>
      <c r="U452" s="122"/>
      <c r="V452" s="361"/>
      <c r="W452" s="382"/>
      <c r="X452" s="56"/>
      <c r="Y452" s="51" t="s">
        <v>1365</v>
      </c>
      <c r="Z452" s="64" t="s">
        <v>835</v>
      </c>
      <c r="AA452" s="1068">
        <v>40178</v>
      </c>
      <c r="AB452" s="752"/>
      <c r="AC452" s="122"/>
      <c r="AD452" s="122"/>
      <c r="AE452" s="122"/>
      <c r="AF452" s="122"/>
      <c r="AG452" s="92"/>
      <c r="AH452" s="92"/>
      <c r="AI452" s="361"/>
      <c r="AJ452" s="126"/>
      <c r="AK452" s="92"/>
      <c r="AL452" s="361"/>
      <c r="AM452" s="92"/>
      <c r="AN452" s="92"/>
      <c r="AO452" s="51"/>
      <c r="AP452" s="514"/>
      <c r="AQ452" s="51"/>
    </row>
    <row r="453" spans="1:43" s="474" customFormat="1" ht="27.75" customHeight="1">
      <c r="A453" s="459" t="s">
        <v>1746</v>
      </c>
      <c r="B453" s="781">
        <v>218</v>
      </c>
      <c r="C453" s="52" t="s">
        <v>1761</v>
      </c>
      <c r="D453" s="54" t="s">
        <v>1176</v>
      </c>
      <c r="E453" s="51" t="s">
        <v>1762</v>
      </c>
      <c r="F453" s="63">
        <v>2</v>
      </c>
      <c r="G453" s="51"/>
      <c r="H453" s="56" t="s">
        <v>1712</v>
      </c>
      <c r="I453" s="796" t="s">
        <v>1082</v>
      </c>
      <c r="J453" s="782" t="s">
        <v>687</v>
      </c>
      <c r="K453" s="796" t="s">
        <v>2001</v>
      </c>
      <c r="L453" s="361">
        <v>73.137</v>
      </c>
      <c r="M453" s="92">
        <v>13</v>
      </c>
      <c r="N453" s="122">
        <v>40148</v>
      </c>
      <c r="O453" s="361">
        <v>225.505</v>
      </c>
      <c r="P453" s="51" t="s">
        <v>728</v>
      </c>
      <c r="Q453" s="888"/>
      <c r="R453" s="361"/>
      <c r="S453" s="361"/>
      <c r="T453" s="757"/>
      <c r="U453" s="122"/>
      <c r="V453" s="361"/>
      <c r="W453" s="382"/>
      <c r="X453" s="56"/>
      <c r="Y453" s="51" t="s">
        <v>1365</v>
      </c>
      <c r="Z453" s="64" t="s">
        <v>835</v>
      </c>
      <c r="AA453" s="1066">
        <v>40214</v>
      </c>
      <c r="AB453" s="752"/>
      <c r="AC453" s="122"/>
      <c r="AD453" s="122"/>
      <c r="AE453" s="122"/>
      <c r="AF453" s="122"/>
      <c r="AG453" s="92"/>
      <c r="AH453" s="92">
        <f>2*6</f>
        <v>12</v>
      </c>
      <c r="AI453" s="361">
        <f>47520/AH453</f>
        <v>3960</v>
      </c>
      <c r="AJ453" s="126">
        <f>(300.987+363.886)/45/Exch!B11</f>
        <v>17.498548658968257</v>
      </c>
      <c r="AK453" s="92">
        <f>AJ453*1000/L453</f>
        <v>239.25712920913162</v>
      </c>
      <c r="AL453" s="361">
        <f>AJ453*1000/AH453</f>
        <v>1458.212388247355</v>
      </c>
      <c r="AM453" s="92"/>
      <c r="AN453" s="92"/>
      <c r="AO453" s="64" t="s">
        <v>1768</v>
      </c>
      <c r="AP453" s="514"/>
      <c r="AQ453" s="467"/>
    </row>
    <row r="454" spans="1:43" s="50" customFormat="1" ht="25.5">
      <c r="A454" s="459" t="s">
        <v>1751</v>
      </c>
      <c r="B454" s="1029">
        <v>222</v>
      </c>
      <c r="C454" s="51" t="s">
        <v>1757</v>
      </c>
      <c r="D454" s="54" t="s">
        <v>1176</v>
      </c>
      <c r="E454" s="51" t="s">
        <v>91</v>
      </c>
      <c r="F454" s="54">
        <v>2</v>
      </c>
      <c r="G454" s="51"/>
      <c r="H454" s="56" t="s">
        <v>1712</v>
      </c>
      <c r="I454" s="806" t="s">
        <v>911</v>
      </c>
      <c r="J454" s="51" t="s">
        <v>973</v>
      </c>
      <c r="K454" s="56" t="s">
        <v>1775</v>
      </c>
      <c r="L454" s="361">
        <v>351.65499999999997</v>
      </c>
      <c r="M454" s="92">
        <v>0</v>
      </c>
      <c r="N454" s="122">
        <v>40391</v>
      </c>
      <c r="O454" s="361">
        <f>L454*2.42</f>
        <v>851.00509999999986</v>
      </c>
      <c r="P454" s="51" t="s">
        <v>728</v>
      </c>
      <c r="Q454" s="888"/>
      <c r="R454" s="361"/>
      <c r="S454" s="361"/>
      <c r="T454" s="757"/>
      <c r="U454" s="122"/>
      <c r="V454" s="361"/>
      <c r="W454" s="382"/>
      <c r="X454" s="56"/>
      <c r="Y454" s="51" t="s">
        <v>1248</v>
      </c>
      <c r="Z454" s="64" t="s">
        <v>665</v>
      </c>
      <c r="AA454" s="1066">
        <v>40227</v>
      </c>
      <c r="AB454" s="752"/>
      <c r="AC454" s="122"/>
      <c r="AD454" s="122"/>
      <c r="AE454" s="122"/>
      <c r="AF454" s="122"/>
      <c r="AG454" s="92"/>
      <c r="AH454" s="92">
        <v>0</v>
      </c>
      <c r="AI454" s="361"/>
      <c r="AJ454" s="885"/>
      <c r="AK454" s="92"/>
      <c r="AL454" s="361"/>
      <c r="AM454" s="92"/>
      <c r="AN454" s="92"/>
      <c r="AO454" s="51"/>
      <c r="AP454" s="514"/>
      <c r="AQ454" s="51"/>
    </row>
    <row r="455" spans="1:43" s="50" customFormat="1" ht="12.75" customHeight="1">
      <c r="A455" s="465" t="s">
        <v>1840</v>
      </c>
      <c r="B455" s="52">
        <v>227</v>
      </c>
      <c r="C455" s="467" t="s">
        <v>1847</v>
      </c>
      <c r="D455" s="530" t="s">
        <v>1176</v>
      </c>
      <c r="E455" s="466" t="s">
        <v>647</v>
      </c>
      <c r="F455" s="463">
        <v>2</v>
      </c>
      <c r="G455" s="466"/>
      <c r="H455" s="500" t="s">
        <v>1712</v>
      </c>
      <c r="I455" s="475" t="s">
        <v>973</v>
      </c>
      <c r="J455" s="466" t="s">
        <v>1846</v>
      </c>
      <c r="K455" s="500" t="s">
        <v>882</v>
      </c>
      <c r="L455" s="1043">
        <v>221.63300000000001</v>
      </c>
      <c r="M455" s="469">
        <v>0</v>
      </c>
      <c r="N455" s="470">
        <v>39448</v>
      </c>
      <c r="O455" s="1043">
        <v>1108.163</v>
      </c>
      <c r="P455" s="466" t="s">
        <v>728</v>
      </c>
      <c r="Q455" s="783"/>
      <c r="R455" s="476"/>
      <c r="S455" s="476"/>
      <c r="T455" s="1054"/>
      <c r="U455" s="470"/>
      <c r="V455" s="476"/>
      <c r="W455" s="486"/>
      <c r="X455" s="500"/>
      <c r="Y455" s="467" t="s">
        <v>1084</v>
      </c>
      <c r="Z455" s="466" t="s">
        <v>665</v>
      </c>
      <c r="AA455" s="470">
        <v>40306</v>
      </c>
      <c r="AB455" s="470"/>
      <c r="AC455" s="470"/>
      <c r="AD455" s="470"/>
      <c r="AE455" s="470"/>
      <c r="AF455" s="470"/>
      <c r="AG455" s="469"/>
      <c r="AH455" s="469">
        <v>0</v>
      </c>
      <c r="AI455" s="469"/>
      <c r="AJ455" s="469"/>
      <c r="AK455" s="469"/>
      <c r="AL455" s="469"/>
      <c r="AM455" s="469"/>
      <c r="AN455" s="469"/>
      <c r="AO455" s="466"/>
      <c r="AP455" s="463"/>
      <c r="AQ455" s="51"/>
    </row>
    <row r="456" spans="1:43" s="474" customFormat="1" ht="27" customHeight="1">
      <c r="A456" s="491" t="s">
        <v>2524</v>
      </c>
      <c r="B456" s="467">
        <v>253</v>
      </c>
      <c r="C456" s="52" t="s">
        <v>2514</v>
      </c>
      <c r="D456" s="530" t="s">
        <v>1176</v>
      </c>
      <c r="E456" s="467" t="s">
        <v>188</v>
      </c>
      <c r="F456" s="489">
        <v>2</v>
      </c>
      <c r="G456" s="466"/>
      <c r="H456" s="500" t="s">
        <v>1712</v>
      </c>
      <c r="I456" s="68" t="s">
        <v>1735</v>
      </c>
      <c r="J456" s="51" t="s">
        <v>1105</v>
      </c>
      <c r="K456" s="542" t="s">
        <v>2001</v>
      </c>
      <c r="L456" s="469">
        <v>327.75299999999999</v>
      </c>
      <c r="M456" s="469">
        <v>0</v>
      </c>
      <c r="N456" s="470">
        <v>40817</v>
      </c>
      <c r="O456" s="476">
        <f>L456*1.25</f>
        <v>409.69124999999997</v>
      </c>
      <c r="P456" s="467" t="s">
        <v>1731</v>
      </c>
      <c r="Q456" s="783"/>
      <c r="R456" s="476"/>
      <c r="S456" s="476"/>
      <c r="T456" s="1054"/>
      <c r="U456" s="470"/>
      <c r="V456" s="476"/>
      <c r="W456" s="466"/>
      <c r="X456" s="500"/>
      <c r="Y456" s="491" t="s">
        <v>2496</v>
      </c>
      <c r="Z456" s="467" t="s">
        <v>202</v>
      </c>
      <c r="AA456" s="470">
        <v>40717</v>
      </c>
      <c r="AB456" s="470"/>
      <c r="AC456" s="470"/>
      <c r="AD456" s="470"/>
      <c r="AE456" s="470"/>
      <c r="AF456" s="470"/>
      <c r="AG456" s="466"/>
      <c r="AH456" s="469">
        <f>124-56.7</f>
        <v>67.3</v>
      </c>
      <c r="AI456" s="476"/>
      <c r="AJ456" s="736"/>
      <c r="AK456" s="469"/>
      <c r="AL456" s="466"/>
      <c r="AM456" s="466"/>
      <c r="AN456" s="466"/>
      <c r="AO456" s="466"/>
      <c r="AP456" s="530"/>
      <c r="AQ456" s="782"/>
    </row>
    <row r="457" spans="1:43" s="474" customFormat="1" ht="15.75" customHeight="1">
      <c r="A457" s="491" t="s">
        <v>2738</v>
      </c>
      <c r="B457" s="467">
        <v>281</v>
      </c>
      <c r="C457" s="467" t="s">
        <v>2730</v>
      </c>
      <c r="D457" s="530" t="s">
        <v>1176</v>
      </c>
      <c r="E457" s="467" t="s">
        <v>1762</v>
      </c>
      <c r="F457" s="489">
        <v>2</v>
      </c>
      <c r="G457" s="466"/>
      <c r="H457" s="500" t="s">
        <v>1712</v>
      </c>
      <c r="I457" s="475" t="s">
        <v>1548</v>
      </c>
      <c r="J457" s="466" t="s">
        <v>2264</v>
      </c>
      <c r="K457" s="475" t="s">
        <v>2001</v>
      </c>
      <c r="L457" s="469">
        <v>274.00200000000001</v>
      </c>
      <c r="M457" s="469">
        <v>0</v>
      </c>
      <c r="N457" s="470">
        <v>39448</v>
      </c>
      <c r="O457" s="476">
        <v>1187.3409999999999</v>
      </c>
      <c r="P457" s="516" t="s">
        <v>728</v>
      </c>
      <c r="Q457" s="783"/>
      <c r="R457" s="476"/>
      <c r="S457" s="476"/>
      <c r="T457" s="1054"/>
      <c r="U457" s="470"/>
      <c r="V457" s="476"/>
      <c r="W457" s="466"/>
      <c r="X457" s="500"/>
      <c r="Y457" s="466" t="s">
        <v>2698</v>
      </c>
      <c r="Z457" s="467" t="s">
        <v>1616</v>
      </c>
      <c r="AA457" s="470">
        <v>40866</v>
      </c>
      <c r="AB457" s="470"/>
      <c r="AC457" s="470"/>
      <c r="AD457" s="470"/>
      <c r="AE457" s="470"/>
      <c r="AF457" s="470"/>
      <c r="AG457" s="466"/>
      <c r="AH457" s="466"/>
      <c r="AI457" s="466"/>
      <c r="AJ457" s="466"/>
      <c r="AK457" s="466"/>
      <c r="AL457" s="466"/>
      <c r="AM457" s="466"/>
      <c r="AN457" s="466"/>
      <c r="AO457" s="467"/>
      <c r="AP457" s="463"/>
      <c r="AQ457" s="466"/>
    </row>
    <row r="458" spans="1:43" s="50" customFormat="1" ht="15.75" customHeight="1">
      <c r="A458" s="491" t="s">
        <v>2742</v>
      </c>
      <c r="B458" s="467">
        <v>283</v>
      </c>
      <c r="C458" s="467" t="s">
        <v>2739</v>
      </c>
      <c r="D458" s="530" t="s">
        <v>1176</v>
      </c>
      <c r="E458" s="467" t="s">
        <v>471</v>
      </c>
      <c r="F458" s="463">
        <v>2</v>
      </c>
      <c r="G458" s="466"/>
      <c r="H458" s="500" t="s">
        <v>1712</v>
      </c>
      <c r="I458" s="475" t="s">
        <v>911</v>
      </c>
      <c r="J458" s="467" t="s">
        <v>2750</v>
      </c>
      <c r="K458" s="475" t="s">
        <v>2001</v>
      </c>
      <c r="L458" s="469">
        <v>436.97500000000002</v>
      </c>
      <c r="M458" s="469">
        <v>0</v>
      </c>
      <c r="N458" s="470">
        <v>39448</v>
      </c>
      <c r="O458" s="476">
        <v>2184.7849999999999</v>
      </c>
      <c r="P458" s="515" t="s">
        <v>728</v>
      </c>
      <c r="Q458" s="783"/>
      <c r="R458" s="476"/>
      <c r="S458" s="476"/>
      <c r="T458" s="1054"/>
      <c r="U458" s="470"/>
      <c r="V458" s="476"/>
      <c r="W458" s="466"/>
      <c r="X458" s="500"/>
      <c r="Y458" s="466" t="s">
        <v>2698</v>
      </c>
      <c r="Z458" s="467" t="s">
        <v>1616</v>
      </c>
      <c r="AA458" s="470">
        <v>40871</v>
      </c>
      <c r="AB458" s="470"/>
      <c r="AC458" s="470"/>
      <c r="AD458" s="470"/>
      <c r="AE458" s="470"/>
      <c r="AF458" s="470"/>
      <c r="AG458" s="466"/>
      <c r="AH458" s="466"/>
      <c r="AI458" s="466"/>
      <c r="AJ458" s="466"/>
      <c r="AK458" s="466"/>
      <c r="AL458" s="466"/>
      <c r="AM458" s="466"/>
      <c r="AN458" s="466"/>
      <c r="AO458" s="467"/>
      <c r="AP458" s="463"/>
      <c r="AQ458" s="52"/>
    </row>
    <row r="459" spans="1:43" s="464" customFormat="1" ht="15.75" customHeight="1">
      <c r="A459" s="491" t="s">
        <v>2909</v>
      </c>
      <c r="B459" s="467">
        <v>306</v>
      </c>
      <c r="C459" s="467" t="s">
        <v>2902</v>
      </c>
      <c r="D459" s="530" t="s">
        <v>1176</v>
      </c>
      <c r="E459" s="467" t="s">
        <v>350</v>
      </c>
      <c r="F459" s="466">
        <v>2</v>
      </c>
      <c r="G459" s="466"/>
      <c r="H459" s="500" t="s">
        <v>1712</v>
      </c>
      <c r="I459" s="475" t="s">
        <v>911</v>
      </c>
      <c r="J459" s="516" t="s">
        <v>1577</v>
      </c>
      <c r="K459" s="796" t="s">
        <v>2001</v>
      </c>
      <c r="L459" s="476">
        <v>228.471</v>
      </c>
      <c r="M459" s="469">
        <v>0</v>
      </c>
      <c r="N459" s="470">
        <v>39448</v>
      </c>
      <c r="O459" s="476">
        <f>L459*5</f>
        <v>1142.355</v>
      </c>
      <c r="P459" s="516" t="s">
        <v>728</v>
      </c>
      <c r="Q459" s="783"/>
      <c r="R459" s="476"/>
      <c r="S459" s="476"/>
      <c r="T459" s="1054"/>
      <c r="U459" s="470"/>
      <c r="V459" s="476"/>
      <c r="W459" s="466"/>
      <c r="X459" s="500"/>
      <c r="Y459" s="466" t="s">
        <v>2698</v>
      </c>
      <c r="Z459" s="467" t="s">
        <v>1616</v>
      </c>
      <c r="AA459" s="470">
        <v>40922</v>
      </c>
      <c r="AB459" s="470"/>
      <c r="AC459" s="470"/>
      <c r="AD459" s="470"/>
      <c r="AE459" s="470"/>
      <c r="AF459" s="470"/>
      <c r="AG459" s="466"/>
      <c r="AH459" s="466">
        <v>0</v>
      </c>
      <c r="AI459" s="466"/>
      <c r="AJ459" s="469">
        <f>17.573/Exch!B11</f>
        <v>20.812380411420243</v>
      </c>
      <c r="AK459" s="469">
        <f>AJ459*1000/L459</f>
        <v>91.094188809171598</v>
      </c>
      <c r="AL459" s="466"/>
      <c r="AM459" s="466"/>
      <c r="AN459" s="466"/>
      <c r="AO459" s="467"/>
      <c r="AP459" s="463"/>
      <c r="AQ459" s="466"/>
    </row>
    <row r="460" spans="1:43" s="464" customFormat="1" ht="12.75" customHeight="1">
      <c r="A460" s="491" t="s">
        <v>2929</v>
      </c>
      <c r="B460" s="467">
        <v>309</v>
      </c>
      <c r="C460" s="467" t="s">
        <v>2915</v>
      </c>
      <c r="D460" s="530" t="s">
        <v>1176</v>
      </c>
      <c r="E460" s="467" t="s">
        <v>188</v>
      </c>
      <c r="F460" s="466">
        <v>2</v>
      </c>
      <c r="G460" s="466"/>
      <c r="H460" s="500" t="s">
        <v>1712</v>
      </c>
      <c r="I460" s="475" t="s">
        <v>911</v>
      </c>
      <c r="J460" s="516" t="s">
        <v>614</v>
      </c>
      <c r="K460" s="796" t="s">
        <v>2001</v>
      </c>
      <c r="L460" s="476">
        <v>190.07900000000001</v>
      </c>
      <c r="M460" s="469">
        <v>0</v>
      </c>
      <c r="N460" s="470">
        <v>39448</v>
      </c>
      <c r="O460" s="476">
        <f>L460*5</f>
        <v>950.39499999999998</v>
      </c>
      <c r="P460" s="516" t="s">
        <v>728</v>
      </c>
      <c r="Q460" s="783"/>
      <c r="R460" s="476"/>
      <c r="S460" s="476"/>
      <c r="T460" s="1054"/>
      <c r="U460" s="470"/>
      <c r="V460" s="476"/>
      <c r="W460" s="466"/>
      <c r="X460" s="500"/>
      <c r="Y460" s="466" t="s">
        <v>2698</v>
      </c>
      <c r="Z460" s="467" t="s">
        <v>1616</v>
      </c>
      <c r="AA460" s="470">
        <v>40929</v>
      </c>
      <c r="AB460" s="470"/>
      <c r="AC460" s="470"/>
      <c r="AD460" s="470"/>
      <c r="AE460" s="470"/>
      <c r="AF460" s="470"/>
      <c r="AG460" s="466"/>
      <c r="AH460" s="466">
        <v>0</v>
      </c>
      <c r="AI460" s="466"/>
      <c r="AJ460" s="469">
        <f>93/Exch!B12</f>
        <v>11.923076923076923</v>
      </c>
      <c r="AK460" s="469">
        <f>AJ460*1000/L460</f>
        <v>62.726955229546256</v>
      </c>
      <c r="AL460" s="466"/>
      <c r="AM460" s="466"/>
      <c r="AN460" s="466"/>
      <c r="AO460" s="467"/>
      <c r="AP460" s="463"/>
      <c r="AQ460" s="466"/>
    </row>
    <row r="461" spans="1:43" s="464" customFormat="1" ht="12.75" customHeight="1">
      <c r="A461" s="491" t="s">
        <v>2950</v>
      </c>
      <c r="B461" s="467">
        <v>314</v>
      </c>
      <c r="C461" s="467" t="s">
        <v>2952</v>
      </c>
      <c r="D461" s="530" t="s">
        <v>1176</v>
      </c>
      <c r="E461" s="467" t="s">
        <v>2953</v>
      </c>
      <c r="F461" s="466">
        <v>2</v>
      </c>
      <c r="G461" s="466"/>
      <c r="H461" s="500" t="s">
        <v>1712</v>
      </c>
      <c r="I461" s="475" t="s">
        <v>1735</v>
      </c>
      <c r="J461" s="515" t="s">
        <v>1888</v>
      </c>
      <c r="K461" s="796" t="s">
        <v>2001</v>
      </c>
      <c r="L461" s="476">
        <v>510.63900000000001</v>
      </c>
      <c r="M461" s="469">
        <v>0</v>
      </c>
      <c r="N461" s="470">
        <v>40878</v>
      </c>
      <c r="O461" s="476">
        <f>L461*1.083</f>
        <v>553.02203699999995</v>
      </c>
      <c r="P461" s="516" t="s">
        <v>728</v>
      </c>
      <c r="Q461" s="783"/>
      <c r="R461" s="476"/>
      <c r="S461" s="476"/>
      <c r="T461" s="1054"/>
      <c r="U461" s="470"/>
      <c r="V461" s="476"/>
      <c r="W461" s="466"/>
      <c r="X461" s="500"/>
      <c r="Y461" s="466" t="s">
        <v>2698</v>
      </c>
      <c r="Z461" s="467" t="s">
        <v>1616</v>
      </c>
      <c r="AA461" s="470">
        <v>40968</v>
      </c>
      <c r="AB461" s="470"/>
      <c r="AC461" s="470"/>
      <c r="AD461" s="470"/>
      <c r="AE461" s="470"/>
      <c r="AF461" s="470"/>
      <c r="AG461" s="466"/>
      <c r="AH461" s="466">
        <v>200</v>
      </c>
      <c r="AI461" s="466">
        <f>1356000/AH461</f>
        <v>6780</v>
      </c>
      <c r="AJ461" s="466"/>
      <c r="AK461" s="466"/>
      <c r="AL461" s="466"/>
      <c r="AM461" s="466"/>
      <c r="AN461" s="466"/>
      <c r="AO461" s="467"/>
      <c r="AP461" s="463"/>
      <c r="AQ461" s="466"/>
    </row>
    <row r="462" spans="1:43" s="464" customFormat="1" ht="25.5" customHeight="1">
      <c r="A462" s="491" t="s">
        <v>2972</v>
      </c>
      <c r="B462" s="467">
        <v>320</v>
      </c>
      <c r="C462" s="467" t="s">
        <v>2979</v>
      </c>
      <c r="D462" s="530" t="s">
        <v>1176</v>
      </c>
      <c r="E462" s="467" t="s">
        <v>240</v>
      </c>
      <c r="F462" s="466">
        <v>2</v>
      </c>
      <c r="G462" s="466"/>
      <c r="H462" s="500" t="s">
        <v>1712</v>
      </c>
      <c r="I462" s="68" t="s">
        <v>1736</v>
      </c>
      <c r="J462" s="54" t="s">
        <v>973</v>
      </c>
      <c r="K462" s="796" t="s">
        <v>2001</v>
      </c>
      <c r="L462" s="476">
        <v>130.654</v>
      </c>
      <c r="M462" s="469">
        <v>0</v>
      </c>
      <c r="N462" s="470">
        <v>39680</v>
      </c>
      <c r="O462" s="476">
        <f>L462*4.397</f>
        <v>574.48563799999999</v>
      </c>
      <c r="P462" s="516" t="s">
        <v>728</v>
      </c>
      <c r="Q462" s="783"/>
      <c r="R462" s="476"/>
      <c r="S462" s="476"/>
      <c r="T462" s="1054"/>
      <c r="U462" s="470"/>
      <c r="V462" s="476"/>
      <c r="W462" s="466"/>
      <c r="X462" s="500"/>
      <c r="Y462" s="466" t="s">
        <v>2698</v>
      </c>
      <c r="Z462" s="467" t="s">
        <v>1616</v>
      </c>
      <c r="AA462" s="470">
        <v>40988</v>
      </c>
      <c r="AB462" s="470"/>
      <c r="AC462" s="470"/>
      <c r="AD462" s="470"/>
      <c r="AE462" s="470"/>
      <c r="AF462" s="470"/>
      <c r="AG462" s="466"/>
      <c r="AH462" s="466">
        <v>0</v>
      </c>
      <c r="AI462" s="466"/>
      <c r="AJ462" s="469">
        <f>97.073/Exch!B11</f>
        <v>114.96729093938413</v>
      </c>
      <c r="AK462" s="469">
        <f>AJ462*1000/L462</f>
        <v>879.93701638973266</v>
      </c>
      <c r="AL462" s="466"/>
      <c r="AM462" s="466"/>
      <c r="AN462" s="466"/>
      <c r="AO462" s="467"/>
      <c r="AP462" s="463"/>
      <c r="AQ462" s="466"/>
    </row>
    <row r="463" spans="1:43" s="464" customFormat="1" ht="14.25" customHeight="1">
      <c r="A463" s="459" t="s">
        <v>336</v>
      </c>
      <c r="B463" s="52">
        <v>61</v>
      </c>
      <c r="C463" s="52" t="s">
        <v>989</v>
      </c>
      <c r="D463" s="55" t="s">
        <v>834</v>
      </c>
      <c r="E463" s="52"/>
      <c r="F463" s="51">
        <v>2</v>
      </c>
      <c r="G463" s="51"/>
      <c r="H463" s="56" t="s">
        <v>1712</v>
      </c>
      <c r="I463" s="68" t="s">
        <v>845</v>
      </c>
      <c r="J463" s="51"/>
      <c r="K463" s="542" t="s">
        <v>842</v>
      </c>
      <c r="L463" s="361">
        <v>12.5</v>
      </c>
      <c r="M463" s="92"/>
      <c r="N463" s="122">
        <v>39448</v>
      </c>
      <c r="O463" s="361">
        <f>L463*5</f>
        <v>62.5</v>
      </c>
      <c r="P463" s="52" t="s">
        <v>1731</v>
      </c>
      <c r="Q463" s="981"/>
      <c r="R463" s="385"/>
      <c r="S463" s="385"/>
      <c r="T463" s="1055"/>
      <c r="U463" s="854"/>
      <c r="V463" s="385"/>
      <c r="W463" s="383"/>
      <c r="X463" s="542"/>
      <c r="Y463" s="51" t="s">
        <v>731</v>
      </c>
      <c r="Z463" s="51" t="s">
        <v>345</v>
      </c>
      <c r="AA463" s="875">
        <v>39240</v>
      </c>
      <c r="AB463" s="875"/>
      <c r="AC463" s="854"/>
      <c r="AD463" s="854"/>
      <c r="AE463" s="854"/>
      <c r="AF463" s="854"/>
      <c r="AG463" s="92"/>
      <c r="AH463" s="92">
        <v>0.17499999999999999</v>
      </c>
      <c r="AI463" s="361"/>
      <c r="AJ463" s="92"/>
      <c r="AK463" s="92"/>
      <c r="AL463" s="92"/>
      <c r="AM463" s="92"/>
      <c r="AN463" s="92"/>
      <c r="AO463" s="52"/>
      <c r="AP463" s="463"/>
      <c r="AQ463" s="51"/>
    </row>
    <row r="464" spans="1:43" s="464" customFormat="1" ht="12.75" customHeight="1">
      <c r="A464" s="491" t="s">
        <v>2945</v>
      </c>
      <c r="B464" s="467">
        <v>312</v>
      </c>
      <c r="C464" s="467" t="s">
        <v>2946</v>
      </c>
      <c r="D464" s="530" t="s">
        <v>834</v>
      </c>
      <c r="E464" s="467" t="s">
        <v>1627</v>
      </c>
      <c r="F464" s="466">
        <v>2</v>
      </c>
      <c r="G464" s="466"/>
      <c r="H464" s="500" t="s">
        <v>1712</v>
      </c>
      <c r="I464" s="500" t="s">
        <v>1488</v>
      </c>
      <c r="J464" s="466" t="s">
        <v>1709</v>
      </c>
      <c r="K464" s="1040" t="s">
        <v>2947</v>
      </c>
      <c r="L464" s="476">
        <v>17.544</v>
      </c>
      <c r="M464" s="469">
        <v>0</v>
      </c>
      <c r="N464" s="470">
        <v>39448</v>
      </c>
      <c r="O464" s="476">
        <f>L464*4.333</f>
        <v>76.018152000000001</v>
      </c>
      <c r="P464" s="966" t="s">
        <v>1018</v>
      </c>
      <c r="Q464" s="783"/>
      <c r="R464" s="476"/>
      <c r="S464" s="476"/>
      <c r="T464" s="1054"/>
      <c r="U464" s="470"/>
      <c r="V464" s="476"/>
      <c r="W464" s="466"/>
      <c r="X464" s="500"/>
      <c r="Y464" s="467" t="s">
        <v>425</v>
      </c>
      <c r="Z464" s="467" t="s">
        <v>2948</v>
      </c>
      <c r="AA464" s="470">
        <v>40947</v>
      </c>
      <c r="AB464" s="470"/>
      <c r="AC464" s="470"/>
      <c r="AD464" s="470"/>
      <c r="AE464" s="470"/>
      <c r="AF464" s="470"/>
      <c r="AG464" s="466"/>
      <c r="AH464" s="469">
        <v>0.46</v>
      </c>
      <c r="AI464" s="740"/>
      <c r="AJ464" s="740"/>
      <c r="AK464" s="466"/>
      <c r="AL464" s="466"/>
      <c r="AM464" s="466"/>
      <c r="AN464" s="466"/>
      <c r="AO464" s="467"/>
      <c r="AP464" s="463"/>
      <c r="AQ464" s="466"/>
    </row>
    <row r="465" spans="1:43" s="464" customFormat="1" ht="25.5">
      <c r="A465" s="491" t="s">
        <v>1915</v>
      </c>
      <c r="B465" s="451" t="s">
        <v>1922</v>
      </c>
      <c r="C465" s="419" t="s">
        <v>1925</v>
      </c>
      <c r="D465" s="420" t="s">
        <v>749</v>
      </c>
      <c r="E465" s="445" t="s">
        <v>1956</v>
      </c>
      <c r="F465" s="419">
        <v>1</v>
      </c>
      <c r="G465" s="419"/>
      <c r="H465" s="448" t="s">
        <v>968</v>
      </c>
      <c r="I465" s="455" t="s">
        <v>981</v>
      </c>
      <c r="J465" s="445" t="s">
        <v>1173</v>
      </c>
      <c r="K465" s="455" t="s">
        <v>4</v>
      </c>
      <c r="L465" s="425">
        <v>58.712000000000003</v>
      </c>
      <c r="M465" s="423">
        <v>0</v>
      </c>
      <c r="N465" s="479">
        <v>39995</v>
      </c>
      <c r="O465" s="425">
        <v>176.136</v>
      </c>
      <c r="P465" s="419" t="s">
        <v>1314</v>
      </c>
      <c r="Q465" s="422"/>
      <c r="R465" s="419"/>
      <c r="S465" s="419"/>
      <c r="T465" s="733"/>
      <c r="U465" s="444"/>
      <c r="V465" s="425"/>
      <c r="W465" s="427"/>
      <c r="X465" s="448"/>
      <c r="Y465" s="445" t="s">
        <v>1960</v>
      </c>
      <c r="Z465" s="419" t="s">
        <v>1957</v>
      </c>
      <c r="AA465" s="496">
        <v>40343</v>
      </c>
      <c r="AB465" s="496"/>
      <c r="AC465" s="881">
        <v>40319</v>
      </c>
      <c r="AD465" s="444">
        <v>40274</v>
      </c>
      <c r="AE465" s="444"/>
      <c r="AF465" s="444"/>
      <c r="AG465" s="423"/>
      <c r="AH465" s="423">
        <v>0</v>
      </c>
      <c r="AI465" s="425"/>
      <c r="AJ465" s="423"/>
      <c r="AK465" s="423"/>
      <c r="AL465" s="423"/>
      <c r="AM465" s="423"/>
      <c r="AN465" s="423"/>
      <c r="AO465" s="419"/>
      <c r="AP465" s="463"/>
      <c r="AQ465" s="51"/>
    </row>
    <row r="466" spans="1:43" s="464" customFormat="1" ht="26.25" customHeight="1">
      <c r="A466" s="465" t="s">
        <v>1916</v>
      </c>
      <c r="B466" s="451" t="s">
        <v>1923</v>
      </c>
      <c r="C466" s="445" t="s">
        <v>1926</v>
      </c>
      <c r="D466" s="420" t="s">
        <v>749</v>
      </c>
      <c r="E466" s="507" t="s">
        <v>1955</v>
      </c>
      <c r="F466" s="419">
        <v>1</v>
      </c>
      <c r="G466" s="419"/>
      <c r="H466" s="448" t="s">
        <v>968</v>
      </c>
      <c r="I466" s="455" t="s">
        <v>981</v>
      </c>
      <c r="J466" s="445" t="s">
        <v>1173</v>
      </c>
      <c r="K466" s="455" t="s">
        <v>4</v>
      </c>
      <c r="L466" s="425">
        <v>44.18</v>
      </c>
      <c r="M466" s="423">
        <v>0</v>
      </c>
      <c r="N466" s="479">
        <v>39814</v>
      </c>
      <c r="O466" s="425">
        <v>177</v>
      </c>
      <c r="P466" s="419" t="s">
        <v>1314</v>
      </c>
      <c r="Q466" s="422"/>
      <c r="R466" s="419"/>
      <c r="S466" s="419"/>
      <c r="T466" s="733"/>
      <c r="U466" s="444"/>
      <c r="V466" s="425"/>
      <c r="W466" s="427"/>
      <c r="X466" s="448"/>
      <c r="Y466" s="445" t="s">
        <v>1960</v>
      </c>
      <c r="Z466" s="419" t="s">
        <v>1957</v>
      </c>
      <c r="AA466" s="496">
        <v>40343</v>
      </c>
      <c r="AB466" s="496"/>
      <c r="AC466" s="444">
        <v>40319</v>
      </c>
      <c r="AD466" s="444">
        <v>40247</v>
      </c>
      <c r="AE466" s="444"/>
      <c r="AF466" s="444"/>
      <c r="AG466" s="423"/>
      <c r="AH466" s="423">
        <v>0</v>
      </c>
      <c r="AI466" s="425"/>
      <c r="AJ466" s="423"/>
      <c r="AK466" s="423"/>
      <c r="AL466" s="423"/>
      <c r="AM466" s="423"/>
      <c r="AN466" s="423"/>
      <c r="AO466" s="419"/>
      <c r="AP466" s="463"/>
      <c r="AQ466" s="51"/>
    </row>
    <row r="467" spans="1:43" s="464" customFormat="1">
      <c r="A467" s="491" t="s">
        <v>1917</v>
      </c>
      <c r="B467" s="451" t="s">
        <v>1924</v>
      </c>
      <c r="C467" s="419" t="s">
        <v>1927</v>
      </c>
      <c r="D467" s="449" t="s">
        <v>749</v>
      </c>
      <c r="E467" s="507" t="s">
        <v>1953</v>
      </c>
      <c r="F467" s="419">
        <v>1</v>
      </c>
      <c r="G467" s="419"/>
      <c r="H467" s="448" t="s">
        <v>968</v>
      </c>
      <c r="I467" s="455" t="s">
        <v>981</v>
      </c>
      <c r="J467" s="445" t="s">
        <v>1173</v>
      </c>
      <c r="K467" s="455" t="s">
        <v>4</v>
      </c>
      <c r="L467" s="425">
        <v>61.197000000000003</v>
      </c>
      <c r="M467" s="423">
        <v>0</v>
      </c>
      <c r="N467" s="479">
        <v>39814</v>
      </c>
      <c r="O467" s="425">
        <v>244.78700000000001</v>
      </c>
      <c r="P467" s="419" t="s">
        <v>1314</v>
      </c>
      <c r="Q467" s="422"/>
      <c r="R467" s="419"/>
      <c r="S467" s="419"/>
      <c r="T467" s="733"/>
      <c r="U467" s="444"/>
      <c r="V467" s="425"/>
      <c r="W467" s="427"/>
      <c r="X467" s="448"/>
      <c r="Y467" s="445" t="s">
        <v>1961</v>
      </c>
      <c r="Z467" s="419" t="s">
        <v>1957</v>
      </c>
      <c r="AA467" s="496">
        <v>40343</v>
      </c>
      <c r="AB467" s="496"/>
      <c r="AC467" s="444">
        <v>40319</v>
      </c>
      <c r="AD467" s="444">
        <v>40247</v>
      </c>
      <c r="AE467" s="444"/>
      <c r="AF467" s="444"/>
      <c r="AG467" s="423"/>
      <c r="AH467" s="423">
        <v>0</v>
      </c>
      <c r="AI467" s="425"/>
      <c r="AJ467" s="423"/>
      <c r="AK467" s="423"/>
      <c r="AL467" s="423"/>
      <c r="AM467" s="423"/>
      <c r="AN467" s="423"/>
      <c r="AO467" s="419"/>
      <c r="AP467" s="463"/>
      <c r="AQ467" s="51"/>
    </row>
    <row r="468" spans="1:43" s="464" customFormat="1" ht="12.75" customHeight="1">
      <c r="A468" s="459" t="s">
        <v>1748</v>
      </c>
      <c r="B468" s="781">
        <v>220</v>
      </c>
      <c r="C468" s="419" t="s">
        <v>1758</v>
      </c>
      <c r="D468" s="420" t="s">
        <v>978</v>
      </c>
      <c r="E468" s="419" t="s">
        <v>1773</v>
      </c>
      <c r="F468" s="419">
        <v>2</v>
      </c>
      <c r="G468" s="419"/>
      <c r="H468" s="404" t="s">
        <v>968</v>
      </c>
      <c r="I468" s="533" t="s">
        <v>981</v>
      </c>
      <c r="J468" s="419" t="s">
        <v>1173</v>
      </c>
      <c r="K468" s="448" t="s">
        <v>4</v>
      </c>
      <c r="L468" s="425">
        <v>282.05700000000002</v>
      </c>
      <c r="M468" s="423">
        <v>0</v>
      </c>
      <c r="N468" s="444">
        <v>40299</v>
      </c>
      <c r="O468" s="425">
        <f>L468*2.666</f>
        <v>751.96396200000004</v>
      </c>
      <c r="P468" s="480" t="s">
        <v>1732</v>
      </c>
      <c r="Q468" s="422">
        <f>387.404+257.454+268.686+98.392</f>
        <v>1011.9359999999999</v>
      </c>
      <c r="R468" s="425"/>
      <c r="S468" s="425"/>
      <c r="T468" s="733">
        <v>40991</v>
      </c>
      <c r="U468" s="444">
        <v>41274</v>
      </c>
      <c r="V468" s="425">
        <v>753.43993150684935</v>
      </c>
      <c r="W468" s="427">
        <f>Q468/V468</f>
        <v>1.3430878264922446</v>
      </c>
      <c r="X468" s="455" t="s">
        <v>728</v>
      </c>
      <c r="Y468" s="445" t="s">
        <v>3710</v>
      </c>
      <c r="Z468" s="429" t="s">
        <v>1774</v>
      </c>
      <c r="AA468" s="479">
        <v>40222</v>
      </c>
      <c r="AB468" s="496"/>
      <c r="AC468" s="444">
        <v>40801</v>
      </c>
      <c r="AD468" s="444">
        <v>40862</v>
      </c>
      <c r="AE468" s="444">
        <v>40935</v>
      </c>
      <c r="AF468" s="444"/>
      <c r="AG468" s="423"/>
      <c r="AH468" s="423">
        <v>0</v>
      </c>
      <c r="AI468" s="425"/>
      <c r="AJ468" s="927">
        <f>0.395/Exch!B11</f>
        <v>0.4678137063968017</v>
      </c>
      <c r="AK468" s="423">
        <f>AJ468*1000/L468</f>
        <v>1.6585786078587013</v>
      </c>
      <c r="AL468" s="425"/>
      <c r="AM468" s="423"/>
      <c r="AN468" s="423"/>
      <c r="AO468" s="419"/>
      <c r="AP468" s="514"/>
      <c r="AQ468" s="51"/>
    </row>
    <row r="469" spans="1:43" s="464" customFormat="1" ht="12.75" customHeight="1">
      <c r="A469" s="459" t="s">
        <v>1750</v>
      </c>
      <c r="B469" s="1029">
        <v>221</v>
      </c>
      <c r="C469" s="419" t="s">
        <v>2935</v>
      </c>
      <c r="D469" s="420" t="s">
        <v>978</v>
      </c>
      <c r="E469" s="419" t="s">
        <v>1773</v>
      </c>
      <c r="F469" s="425">
        <v>2</v>
      </c>
      <c r="G469" s="425"/>
      <c r="H469" s="404" t="s">
        <v>968</v>
      </c>
      <c r="I469" s="533" t="s">
        <v>981</v>
      </c>
      <c r="J469" s="419" t="s">
        <v>1173</v>
      </c>
      <c r="K469" s="448" t="s">
        <v>4</v>
      </c>
      <c r="L469" s="425">
        <v>159.07</v>
      </c>
      <c r="M469" s="423">
        <v>0</v>
      </c>
      <c r="N469" s="444">
        <v>40494</v>
      </c>
      <c r="O469" s="425">
        <f>L469*2.219</f>
        <v>352.97632999999996</v>
      </c>
      <c r="P469" s="480" t="s">
        <v>1732</v>
      </c>
      <c r="Q469" s="422">
        <f>95.946+100.557+94.333+37.128</f>
        <v>327.964</v>
      </c>
      <c r="R469" s="425"/>
      <c r="S469" s="425"/>
      <c r="T469" s="733">
        <v>40968</v>
      </c>
      <c r="U469" s="444">
        <v>41274</v>
      </c>
      <c r="V469" s="425">
        <v>339.93041095890413</v>
      </c>
      <c r="W469" s="400">
        <f>Q469/V469</f>
        <v>0.96479746861968518</v>
      </c>
      <c r="X469" s="404" t="s">
        <v>728</v>
      </c>
      <c r="Y469" s="445" t="s">
        <v>3710</v>
      </c>
      <c r="Z469" s="429" t="s">
        <v>1774</v>
      </c>
      <c r="AA469" s="479">
        <v>40226</v>
      </c>
      <c r="AB469" s="496"/>
      <c r="AC469" s="444">
        <v>40801</v>
      </c>
      <c r="AD469" s="444">
        <v>40886</v>
      </c>
      <c r="AE469" s="444">
        <v>40935</v>
      </c>
      <c r="AF469" s="444"/>
      <c r="AG469" s="423"/>
      <c r="AH469" s="423">
        <v>0</v>
      </c>
      <c r="AI469" s="425"/>
      <c r="AJ469" s="551">
        <f>1.335/Exch!B11</f>
        <v>1.5810918937714691</v>
      </c>
      <c r="AK469" s="423">
        <f>AJ469*1000/L469</f>
        <v>9.9395982509050675</v>
      </c>
      <c r="AL469" s="425"/>
      <c r="AM469" s="423"/>
      <c r="AN469" s="423"/>
      <c r="AO469" s="419"/>
      <c r="AP469" s="514"/>
      <c r="AQ469" s="51"/>
    </row>
    <row r="470" spans="1:43" s="464" customFormat="1" ht="27" customHeight="1">
      <c r="A470" s="459" t="s">
        <v>509</v>
      </c>
      <c r="B470" s="52">
        <v>73</v>
      </c>
      <c r="C470" s="124" t="s">
        <v>306</v>
      </c>
      <c r="D470" s="323" t="s">
        <v>707</v>
      </c>
      <c r="E470" s="124"/>
      <c r="F470" s="124">
        <v>2</v>
      </c>
      <c r="G470" s="124"/>
      <c r="H470" s="749" t="s">
        <v>1593</v>
      </c>
      <c r="I470" s="325" t="s">
        <v>1489</v>
      </c>
      <c r="J470" s="124" t="s">
        <v>1710</v>
      </c>
      <c r="K470" s="749" t="s">
        <v>1740</v>
      </c>
      <c r="L470" s="376">
        <f>O470/5</f>
        <v>45.782200000000003</v>
      </c>
      <c r="M470" s="327"/>
      <c r="N470" s="326">
        <v>39448</v>
      </c>
      <c r="O470" s="376">
        <v>228.911</v>
      </c>
      <c r="P470" s="124" t="s">
        <v>1733</v>
      </c>
      <c r="Q470" s="940"/>
      <c r="R470" s="124"/>
      <c r="S470" s="124"/>
      <c r="T470" s="1057"/>
      <c r="U470" s="326"/>
      <c r="V470" s="376"/>
      <c r="W470" s="381"/>
      <c r="X470" s="749"/>
      <c r="Y470" s="124" t="s">
        <v>307</v>
      </c>
      <c r="Z470" s="124" t="s">
        <v>309</v>
      </c>
      <c r="AA470" s="1064">
        <v>39288</v>
      </c>
      <c r="AB470" s="1064"/>
      <c r="AC470" s="326"/>
      <c r="AD470" s="326"/>
      <c r="AE470" s="326"/>
      <c r="AF470" s="749" t="s">
        <v>1593</v>
      </c>
      <c r="AG470" s="327"/>
      <c r="AH470" s="327"/>
      <c r="AI470" s="376"/>
      <c r="AJ470" s="327"/>
      <c r="AK470" s="327"/>
      <c r="AL470" s="327"/>
      <c r="AM470" s="327"/>
      <c r="AN470" s="327"/>
      <c r="AO470" s="124" t="s">
        <v>308</v>
      </c>
      <c r="AP470" s="463"/>
      <c r="AQ470" s="794"/>
    </row>
    <row r="471" spans="1:43" s="464" customFormat="1" ht="12.75" customHeight="1">
      <c r="A471" s="459" t="s">
        <v>1471</v>
      </c>
      <c r="B471" s="52">
        <v>135</v>
      </c>
      <c r="C471" s="207" t="s">
        <v>1474</v>
      </c>
      <c r="D471" s="323" t="s">
        <v>707</v>
      </c>
      <c r="E471" s="124" t="s">
        <v>1477</v>
      </c>
      <c r="F471" s="124">
        <v>2</v>
      </c>
      <c r="G471" s="124"/>
      <c r="H471" s="749" t="s">
        <v>1593</v>
      </c>
      <c r="I471" s="325" t="s">
        <v>1735</v>
      </c>
      <c r="J471" s="124"/>
      <c r="K471" s="749" t="s">
        <v>1478</v>
      </c>
      <c r="L471" s="376">
        <v>21.123000000000001</v>
      </c>
      <c r="M471" s="327">
        <v>0</v>
      </c>
      <c r="N471" s="326">
        <v>39448</v>
      </c>
      <c r="O471" s="376">
        <f>L471*5</f>
        <v>105.61500000000001</v>
      </c>
      <c r="P471" s="124" t="s">
        <v>1732</v>
      </c>
      <c r="Q471" s="940"/>
      <c r="R471" s="124"/>
      <c r="S471" s="124"/>
      <c r="T471" s="1057"/>
      <c r="U471" s="326"/>
      <c r="V471" s="376"/>
      <c r="W471" s="381"/>
      <c r="X471" s="749"/>
      <c r="Y471" s="124" t="s">
        <v>1476</v>
      </c>
      <c r="Z471" s="124" t="s">
        <v>1479</v>
      </c>
      <c r="AA471" s="1064">
        <v>39567</v>
      </c>
      <c r="AB471" s="1064"/>
      <c r="AC471" s="326"/>
      <c r="AD471" s="326"/>
      <c r="AE471" s="326"/>
      <c r="AF471" s="749" t="s">
        <v>1593</v>
      </c>
      <c r="AG471" s="327"/>
      <c r="AH471" s="327">
        <v>6.39</v>
      </c>
      <c r="AI471" s="376">
        <f>53700/AH471</f>
        <v>8403.755868544602</v>
      </c>
      <c r="AJ471" s="327"/>
      <c r="AK471" s="327"/>
      <c r="AL471" s="327"/>
      <c r="AM471" s="327"/>
      <c r="AN471" s="327"/>
      <c r="AO471" s="124" t="s">
        <v>1475</v>
      </c>
      <c r="AP471" s="463"/>
      <c r="AQ471" s="51"/>
    </row>
    <row r="472" spans="1:43" s="464" customFormat="1" ht="14.25" customHeight="1">
      <c r="A472" s="1028" t="s">
        <v>1334</v>
      </c>
      <c r="B472" s="52">
        <v>1</v>
      </c>
      <c r="C472" s="391" t="s">
        <v>1711</v>
      </c>
      <c r="D472" s="392" t="s">
        <v>707</v>
      </c>
      <c r="E472" s="391" t="s">
        <v>1126</v>
      </c>
      <c r="F472" s="391">
        <v>2</v>
      </c>
      <c r="G472" s="391"/>
      <c r="H472" s="404" t="s">
        <v>968</v>
      </c>
      <c r="I472" s="394" t="s">
        <v>1736</v>
      </c>
      <c r="J472" s="391" t="s">
        <v>973</v>
      </c>
      <c r="K472" s="404" t="s">
        <v>1708</v>
      </c>
      <c r="L472" s="399">
        <v>755.851</v>
      </c>
      <c r="M472" s="396"/>
      <c r="N472" s="397">
        <v>39814</v>
      </c>
      <c r="O472" s="399">
        <f>4*L472</f>
        <v>3023.404</v>
      </c>
      <c r="P472" s="391" t="s">
        <v>1732</v>
      </c>
      <c r="Q472" s="1088">
        <f>108.915+396.04</f>
        <v>504.95500000000004</v>
      </c>
      <c r="R472" s="399"/>
      <c r="S472" s="399"/>
      <c r="T472" s="876">
        <v>41190</v>
      </c>
      <c r="U472" s="397">
        <v>41274</v>
      </c>
      <c r="V472" s="399">
        <v>3023.404</v>
      </c>
      <c r="W472" s="400">
        <f t="shared" ref="W472:W479" si="24">Q472/V472</f>
        <v>0.16701539059947001</v>
      </c>
      <c r="X472" s="404" t="s">
        <v>728</v>
      </c>
      <c r="Y472" s="391" t="s">
        <v>1714</v>
      </c>
      <c r="Z472" s="391" t="s">
        <v>352</v>
      </c>
      <c r="AA472" s="397">
        <v>39017</v>
      </c>
      <c r="AB472" s="397"/>
      <c r="AC472" s="397">
        <v>39083</v>
      </c>
      <c r="AD472" s="397">
        <v>39123</v>
      </c>
      <c r="AE472" s="397">
        <v>39167</v>
      </c>
      <c r="AF472" s="397"/>
      <c r="AG472" s="396"/>
      <c r="AH472" s="396"/>
      <c r="AI472" s="399"/>
      <c r="AJ472" s="396"/>
      <c r="AK472" s="396"/>
      <c r="AL472" s="396"/>
      <c r="AM472" s="396"/>
      <c r="AN472" s="396"/>
      <c r="AO472" s="855"/>
      <c r="AP472" s="463"/>
      <c r="AQ472" s="782"/>
    </row>
    <row r="473" spans="1:43" s="464" customFormat="1" ht="12.75" customHeight="1">
      <c r="A473" s="459" t="s">
        <v>1495</v>
      </c>
      <c r="B473" s="51">
        <v>35</v>
      </c>
      <c r="C473" s="391" t="s">
        <v>2091</v>
      </c>
      <c r="D473" s="392" t="s">
        <v>707</v>
      </c>
      <c r="E473" s="391" t="s">
        <v>1043</v>
      </c>
      <c r="F473" s="391">
        <v>2</v>
      </c>
      <c r="G473" s="391"/>
      <c r="H473" s="404" t="s">
        <v>968</v>
      </c>
      <c r="I473" s="394" t="s">
        <v>845</v>
      </c>
      <c r="J473" s="391" t="s">
        <v>346</v>
      </c>
      <c r="K473" s="404" t="s">
        <v>842</v>
      </c>
      <c r="L473" s="399">
        <f>O473/5</f>
        <v>2148.0036</v>
      </c>
      <c r="M473" s="396">
        <v>0</v>
      </c>
      <c r="N473" s="397">
        <v>39448</v>
      </c>
      <c r="O473" s="399">
        <v>10740.018</v>
      </c>
      <c r="P473" s="391" t="s">
        <v>1732</v>
      </c>
      <c r="Q473" s="1089">
        <f>331.093+165.822+153.936+483.532+222.816+461.027+331.812+364.591+411.273</f>
        <v>2925.902</v>
      </c>
      <c r="R473" s="399"/>
      <c r="S473" s="399"/>
      <c r="T473" s="876">
        <v>39781</v>
      </c>
      <c r="U473" s="397">
        <v>41029</v>
      </c>
      <c r="V473" s="399">
        <v>9304.0923057534237</v>
      </c>
      <c r="W473" s="400">
        <f t="shared" si="24"/>
        <v>0.31447473905549</v>
      </c>
      <c r="X473" s="404" t="s">
        <v>1732</v>
      </c>
      <c r="Y473" s="452" t="s">
        <v>2583</v>
      </c>
      <c r="Z473" s="391" t="s">
        <v>352</v>
      </c>
      <c r="AA473" s="397">
        <v>39120</v>
      </c>
      <c r="AB473" s="397"/>
      <c r="AC473" s="397">
        <v>38793</v>
      </c>
      <c r="AD473" s="397">
        <v>39640</v>
      </c>
      <c r="AE473" s="397">
        <v>39684</v>
      </c>
      <c r="AF473" s="397"/>
      <c r="AG473" s="396"/>
      <c r="AH473" s="396">
        <v>72.84</v>
      </c>
      <c r="AI473" s="399"/>
      <c r="AJ473" s="396">
        <f>288.45842/7.9416</f>
        <v>36.322456431953256</v>
      </c>
      <c r="AK473" s="396">
        <f>AJ473*1000/L473</f>
        <v>16.909867577481368</v>
      </c>
      <c r="AL473" s="396">
        <f>AJ473*1000/AH473</f>
        <v>498.66085161934728</v>
      </c>
      <c r="AM473" s="396"/>
      <c r="AN473" s="396"/>
      <c r="AO473" s="391"/>
      <c r="AP473" s="463"/>
      <c r="AQ473" s="794"/>
    </row>
    <row r="474" spans="1:43" s="464" customFormat="1" ht="12.75" customHeight="1">
      <c r="A474" s="459" t="s">
        <v>518</v>
      </c>
      <c r="B474" s="51">
        <v>50</v>
      </c>
      <c r="C474" s="391" t="s">
        <v>1739</v>
      </c>
      <c r="D474" s="392" t="s">
        <v>707</v>
      </c>
      <c r="E474" s="391" t="s">
        <v>1126</v>
      </c>
      <c r="F474" s="391">
        <v>2</v>
      </c>
      <c r="G474" s="391"/>
      <c r="H474" s="404" t="s">
        <v>968</v>
      </c>
      <c r="I474" s="394" t="s">
        <v>1489</v>
      </c>
      <c r="J474" s="391" t="s">
        <v>1710</v>
      </c>
      <c r="K474" s="404" t="s">
        <v>1740</v>
      </c>
      <c r="L474" s="399">
        <f>O474/4.6</f>
        <v>43.73021739130435</v>
      </c>
      <c r="M474" s="396">
        <v>0</v>
      </c>
      <c r="N474" s="397">
        <v>39600</v>
      </c>
      <c r="O474" s="399">
        <v>201.15899999999999</v>
      </c>
      <c r="P474" s="391" t="s">
        <v>1732</v>
      </c>
      <c r="Q474" s="1089">
        <f>54.56+62.963</f>
        <v>117.523</v>
      </c>
      <c r="R474" s="399"/>
      <c r="S474" s="399"/>
      <c r="T474" s="876">
        <v>40661</v>
      </c>
      <c r="U474" s="397">
        <v>40847</v>
      </c>
      <c r="V474" s="399">
        <v>149.40159201905897</v>
      </c>
      <c r="W474" s="400">
        <f t="shared" si="24"/>
        <v>0.78662481712382115</v>
      </c>
      <c r="X474" s="404" t="s">
        <v>1732</v>
      </c>
      <c r="Y474" s="391" t="s">
        <v>427</v>
      </c>
      <c r="Z474" s="391" t="s">
        <v>7</v>
      </c>
      <c r="AA474" s="909">
        <v>39193</v>
      </c>
      <c r="AB474" s="909"/>
      <c r="AC474" s="397">
        <v>39658</v>
      </c>
      <c r="AD474" s="397">
        <v>39982</v>
      </c>
      <c r="AE474" s="397">
        <v>39990</v>
      </c>
      <c r="AF474" s="397"/>
      <c r="AG474" s="396"/>
      <c r="AH474" s="396"/>
      <c r="AI474" s="399"/>
      <c r="AJ474" s="396"/>
      <c r="AK474" s="396"/>
      <c r="AL474" s="396"/>
      <c r="AM474" s="396"/>
      <c r="AN474" s="396"/>
      <c r="AO474" s="391" t="s">
        <v>6</v>
      </c>
      <c r="AP474" s="463"/>
      <c r="AQ474" s="782"/>
    </row>
    <row r="475" spans="1:43" s="464" customFormat="1" ht="25.5">
      <c r="A475" s="459" t="s">
        <v>642</v>
      </c>
      <c r="B475" s="52">
        <v>77</v>
      </c>
      <c r="C475" s="403" t="s">
        <v>649</v>
      </c>
      <c r="D475" s="392" t="s">
        <v>707</v>
      </c>
      <c r="E475" s="391" t="s">
        <v>1043</v>
      </c>
      <c r="F475" s="391">
        <v>2</v>
      </c>
      <c r="G475" s="391"/>
      <c r="H475" s="404" t="s">
        <v>968</v>
      </c>
      <c r="I475" s="394" t="s">
        <v>845</v>
      </c>
      <c r="J475" s="391" t="s">
        <v>346</v>
      </c>
      <c r="K475" s="404" t="s">
        <v>842</v>
      </c>
      <c r="L475" s="399">
        <v>165.34800000000001</v>
      </c>
      <c r="M475" s="396">
        <v>0</v>
      </c>
      <c r="N475" s="397">
        <v>39448</v>
      </c>
      <c r="O475" s="399">
        <f>5*L475</f>
        <v>826.74</v>
      </c>
      <c r="P475" s="391" t="s">
        <v>1731</v>
      </c>
      <c r="Q475" s="1087">
        <f>212.191+67.425+129.765+89.505</f>
        <v>498.88599999999997</v>
      </c>
      <c r="R475" s="425"/>
      <c r="S475" s="425"/>
      <c r="T475" s="876">
        <v>40606</v>
      </c>
      <c r="U475" s="397">
        <v>41274</v>
      </c>
      <c r="V475" s="399">
        <v>827.19300821917818</v>
      </c>
      <c r="W475" s="400">
        <f t="shared" si="24"/>
        <v>0.60310712861805527</v>
      </c>
      <c r="X475" s="404" t="s">
        <v>1732</v>
      </c>
      <c r="Y475" s="391" t="s">
        <v>650</v>
      </c>
      <c r="Z475" s="391" t="s">
        <v>652</v>
      </c>
      <c r="AA475" s="909">
        <v>39343</v>
      </c>
      <c r="AB475" s="909"/>
      <c r="AC475" s="397">
        <v>39688</v>
      </c>
      <c r="AD475" s="397">
        <v>40044</v>
      </c>
      <c r="AE475" s="397">
        <v>40088</v>
      </c>
      <c r="AF475" s="397" t="s">
        <v>1551</v>
      </c>
      <c r="AG475" s="396"/>
      <c r="AH475" s="396">
        <v>1.35</v>
      </c>
      <c r="AI475" s="399">
        <f>2496/AH475</f>
        <v>1848.8888888888887</v>
      </c>
      <c r="AJ475" s="396">
        <f>3.25/Exch!B11</f>
        <v>3.849100115923052</v>
      </c>
      <c r="AK475" s="396">
        <f t="shared" ref="AK475:AK480" si="25">AJ475*1000/L475</f>
        <v>23.27878242206166</v>
      </c>
      <c r="AL475" s="396">
        <f>AJ475*1000/AH475</f>
        <v>2851.1852710541125</v>
      </c>
      <c r="AM475" s="396"/>
      <c r="AN475" s="396"/>
      <c r="AO475" s="391" t="s">
        <v>651</v>
      </c>
      <c r="AP475" s="463"/>
      <c r="AQ475" s="466"/>
    </row>
    <row r="476" spans="1:43" s="464" customFormat="1" ht="25.5">
      <c r="A476" s="459" t="s">
        <v>643</v>
      </c>
      <c r="B476" s="52">
        <v>78</v>
      </c>
      <c r="C476" s="391" t="s">
        <v>653</v>
      </c>
      <c r="D476" s="392" t="s">
        <v>707</v>
      </c>
      <c r="E476" s="391" t="s">
        <v>1043</v>
      </c>
      <c r="F476" s="391">
        <v>2</v>
      </c>
      <c r="G476" s="391"/>
      <c r="H476" s="404" t="s">
        <v>968</v>
      </c>
      <c r="I476" s="394" t="s">
        <v>845</v>
      </c>
      <c r="J476" s="391" t="s">
        <v>346</v>
      </c>
      <c r="K476" s="404" t="s">
        <v>842</v>
      </c>
      <c r="L476" s="399">
        <v>171.82900000000001</v>
      </c>
      <c r="M476" s="396"/>
      <c r="N476" s="397">
        <v>39636</v>
      </c>
      <c r="O476" s="399">
        <v>859.14599999999996</v>
      </c>
      <c r="P476" s="391" t="s">
        <v>1731</v>
      </c>
      <c r="Q476" s="1089">
        <f>75.144+166.441+235.397+183.838</f>
        <v>660.81999999999994</v>
      </c>
      <c r="R476" s="399"/>
      <c r="S476" s="399"/>
      <c r="T476" s="876">
        <v>40635</v>
      </c>
      <c r="U476" s="397">
        <v>41274</v>
      </c>
      <c r="V476" s="399">
        <v>771.11206027397259</v>
      </c>
      <c r="W476" s="400">
        <f t="shared" si="24"/>
        <v>0.85697012670922768</v>
      </c>
      <c r="X476" s="404" t="s">
        <v>1732</v>
      </c>
      <c r="Y476" s="391" t="s">
        <v>650</v>
      </c>
      <c r="Z476" s="391" t="s">
        <v>652</v>
      </c>
      <c r="AA476" s="909">
        <v>39344</v>
      </c>
      <c r="AB476" s="909"/>
      <c r="AC476" s="397">
        <v>40053</v>
      </c>
      <c r="AD476" s="397">
        <v>40127</v>
      </c>
      <c r="AE476" s="397">
        <v>40171</v>
      </c>
      <c r="AF476" s="397"/>
      <c r="AG476" s="396"/>
      <c r="AH476" s="396">
        <f>1.35*2</f>
        <v>2.7</v>
      </c>
      <c r="AI476" s="399">
        <f>(9072-318)/1.35</f>
        <v>6484.4444444444443</v>
      </c>
      <c r="AJ476" s="396">
        <f>3.7/Exch!B11</f>
        <v>4.3820524396662437</v>
      </c>
      <c r="AK476" s="396">
        <f t="shared" si="25"/>
        <v>25.502403201242188</v>
      </c>
      <c r="AL476" s="396">
        <f>AJ476*1000/AH476</f>
        <v>1622.9823850615717</v>
      </c>
      <c r="AM476" s="396"/>
      <c r="AN476" s="396"/>
      <c r="AO476" s="391" t="s">
        <v>651</v>
      </c>
      <c r="AP476" s="463"/>
      <c r="AQ476" s="466"/>
    </row>
    <row r="477" spans="1:43" s="464" customFormat="1" ht="25.5">
      <c r="A477" s="459" t="s">
        <v>644</v>
      </c>
      <c r="B477" s="52">
        <v>79</v>
      </c>
      <c r="C477" s="391" t="s">
        <v>654</v>
      </c>
      <c r="D477" s="392" t="s">
        <v>707</v>
      </c>
      <c r="E477" s="391" t="s">
        <v>1043</v>
      </c>
      <c r="F477" s="391">
        <v>2</v>
      </c>
      <c r="G477" s="391"/>
      <c r="H477" s="404" t="s">
        <v>968</v>
      </c>
      <c r="I477" s="394" t="s">
        <v>845</v>
      </c>
      <c r="J477" s="391" t="s">
        <v>346</v>
      </c>
      <c r="K477" s="404" t="s">
        <v>842</v>
      </c>
      <c r="L477" s="399">
        <v>316.94099999999997</v>
      </c>
      <c r="M477" s="396">
        <v>0</v>
      </c>
      <c r="N477" s="397">
        <v>39669</v>
      </c>
      <c r="O477" s="399">
        <f>4.295*L477</f>
        <v>1361.2615949999999</v>
      </c>
      <c r="P477" s="391" t="s">
        <v>1731</v>
      </c>
      <c r="Q477" s="1089">
        <f>66.137+113.129+100.06+137.565</f>
        <v>416.89100000000002</v>
      </c>
      <c r="R477" s="399"/>
      <c r="S477" s="399"/>
      <c r="T477" s="876">
        <v>40351</v>
      </c>
      <c r="U477" s="397">
        <v>41090</v>
      </c>
      <c r="V477" s="399">
        <v>1233.8990712328766</v>
      </c>
      <c r="W477" s="400">
        <f t="shared" si="24"/>
        <v>0.33786474900532543</v>
      </c>
      <c r="X477" s="404" t="s">
        <v>728</v>
      </c>
      <c r="Y477" s="391" t="s">
        <v>650</v>
      </c>
      <c r="Z477" s="391" t="s">
        <v>652</v>
      </c>
      <c r="AA477" s="909">
        <v>39344</v>
      </c>
      <c r="AB477" s="909"/>
      <c r="AC477" s="397">
        <v>39640</v>
      </c>
      <c r="AD477" s="397">
        <v>39746</v>
      </c>
      <c r="AE477" s="397">
        <v>39790</v>
      </c>
      <c r="AF477" s="397"/>
      <c r="AG477" s="396"/>
      <c r="AH477" s="396">
        <f>3*3.6</f>
        <v>10.8</v>
      </c>
      <c r="AI477" s="399">
        <f>(3*8424)/AH477</f>
        <v>2340</v>
      </c>
      <c r="AJ477" s="396">
        <f>6.65/Exch!B11</f>
        <v>7.8758510064271681</v>
      </c>
      <c r="AK477" s="396">
        <f t="shared" si="25"/>
        <v>24.84958085709065</v>
      </c>
      <c r="AL477" s="396">
        <f>AJ477*1000/AH477</f>
        <v>729.24546355807104</v>
      </c>
      <c r="AM477" s="396"/>
      <c r="AN477" s="396"/>
      <c r="AO477" s="391" t="s">
        <v>651</v>
      </c>
      <c r="AP477" s="463"/>
      <c r="AQ477" s="51"/>
    </row>
    <row r="478" spans="1:43" s="464" customFormat="1" ht="25.5">
      <c r="A478" s="459" t="s">
        <v>1234</v>
      </c>
      <c r="B478" s="52">
        <v>104</v>
      </c>
      <c r="C478" s="452" t="s">
        <v>2090</v>
      </c>
      <c r="D478" s="392" t="s">
        <v>707</v>
      </c>
      <c r="E478" s="391" t="s">
        <v>1043</v>
      </c>
      <c r="F478" s="391">
        <v>2</v>
      </c>
      <c r="G478" s="391"/>
      <c r="H478" s="404" t="s">
        <v>968</v>
      </c>
      <c r="I478" s="394" t="s">
        <v>911</v>
      </c>
      <c r="J478" s="391" t="s">
        <v>1070</v>
      </c>
      <c r="K478" s="533" t="s">
        <v>2001</v>
      </c>
      <c r="L478" s="399">
        <v>208.73500000000001</v>
      </c>
      <c r="M478" s="396">
        <v>20</v>
      </c>
      <c r="N478" s="397">
        <v>39448</v>
      </c>
      <c r="O478" s="399">
        <f>L478*5</f>
        <v>1043.6750000000002</v>
      </c>
      <c r="P478" s="391" t="s">
        <v>728</v>
      </c>
      <c r="Q478" s="1089">
        <f>117.881+159.244+59.485+71.707+81.354+73.562+75.991+83.599+88.229+85.675+81.164+172.219</f>
        <v>1150.1099999999999</v>
      </c>
      <c r="R478" s="399"/>
      <c r="S478" s="399"/>
      <c r="T478" s="876">
        <v>40163</v>
      </c>
      <c r="U478" s="397">
        <v>41090</v>
      </c>
      <c r="V478" s="399">
        <v>916.46678588853456</v>
      </c>
      <c r="W478" s="400">
        <f t="shared" si="24"/>
        <v>1.2549390962215212</v>
      </c>
      <c r="X478" s="404" t="s">
        <v>728</v>
      </c>
      <c r="Y478" s="391" t="s">
        <v>1248</v>
      </c>
      <c r="Z478" s="391" t="s">
        <v>665</v>
      </c>
      <c r="AA478" s="909">
        <v>39431</v>
      </c>
      <c r="AB478" s="909"/>
      <c r="AC478" s="397">
        <v>39836</v>
      </c>
      <c r="AD478" s="397">
        <v>40072</v>
      </c>
      <c r="AE478" s="397"/>
      <c r="AF478" s="397"/>
      <c r="AG478" s="396"/>
      <c r="AH478" s="396">
        <v>0</v>
      </c>
      <c r="AI478" s="399"/>
      <c r="AJ478" s="396">
        <v>20.572877999999999</v>
      </c>
      <c r="AK478" s="396">
        <f t="shared" si="25"/>
        <v>98.559791122715396</v>
      </c>
      <c r="AL478" s="396"/>
      <c r="AM478" s="396"/>
      <c r="AN478" s="396"/>
      <c r="AO478" s="391"/>
      <c r="AP478" s="463"/>
      <c r="AQ478" s="51"/>
    </row>
    <row r="479" spans="1:43" s="464" customFormat="1" ht="12.75" customHeight="1">
      <c r="A479" s="459" t="s">
        <v>1235</v>
      </c>
      <c r="B479" s="52">
        <v>105</v>
      </c>
      <c r="C479" s="405" t="s">
        <v>1249</v>
      </c>
      <c r="D479" s="392" t="s">
        <v>707</v>
      </c>
      <c r="E479" s="391" t="s">
        <v>1043</v>
      </c>
      <c r="F479" s="391">
        <v>2</v>
      </c>
      <c r="G479" s="391"/>
      <c r="H479" s="404" t="s">
        <v>968</v>
      </c>
      <c r="I479" s="394" t="s">
        <v>845</v>
      </c>
      <c r="J479" s="287" t="s">
        <v>346</v>
      </c>
      <c r="K479" s="404" t="s">
        <v>842</v>
      </c>
      <c r="L479" s="399">
        <v>1570.527</v>
      </c>
      <c r="M479" s="396">
        <v>0</v>
      </c>
      <c r="N479" s="397">
        <v>39448</v>
      </c>
      <c r="O479" s="399">
        <f>L479*5</f>
        <v>7852.6350000000002</v>
      </c>
      <c r="P479" s="391" t="s">
        <v>1731</v>
      </c>
      <c r="Q479" s="1087">
        <f>188.37+135.397+144.47+146.008+235.612</f>
        <v>849.85699999999997</v>
      </c>
      <c r="R479" s="425"/>
      <c r="S479" s="425"/>
      <c r="T479" s="876">
        <v>40550</v>
      </c>
      <c r="U479" s="397">
        <v>41274</v>
      </c>
      <c r="V479" s="399">
        <v>7856.9378136986306</v>
      </c>
      <c r="W479" s="400">
        <f t="shared" si="24"/>
        <v>0.10816644094067639</v>
      </c>
      <c r="X479" s="404" t="s">
        <v>1731</v>
      </c>
      <c r="Y479" s="391" t="s">
        <v>650</v>
      </c>
      <c r="Z479" s="391" t="s">
        <v>1286</v>
      </c>
      <c r="AA479" s="909">
        <v>39436</v>
      </c>
      <c r="AB479" s="909"/>
      <c r="AC479" s="397">
        <v>39500</v>
      </c>
      <c r="AD479" s="397">
        <v>40081</v>
      </c>
      <c r="AE479" s="397">
        <v>40125</v>
      </c>
      <c r="AF479" s="397"/>
      <c r="AG479" s="396"/>
      <c r="AH479" s="396">
        <f>48.8+97.5</f>
        <v>146.30000000000001</v>
      </c>
      <c r="AI479" s="399">
        <f>353808/AH479</f>
        <v>2418.3732057416264</v>
      </c>
      <c r="AJ479" s="396">
        <v>41.8</v>
      </c>
      <c r="AK479" s="396">
        <f t="shared" si="25"/>
        <v>26.615269906216191</v>
      </c>
      <c r="AL479" s="396">
        <f>AJ479*1000/Exch!B11/AH479</f>
        <v>338.38242777345511</v>
      </c>
      <c r="AM479" s="396"/>
      <c r="AN479" s="396"/>
      <c r="AO479" s="391"/>
      <c r="AP479" s="463"/>
      <c r="AQ479" s="51"/>
    </row>
    <row r="480" spans="1:43" s="464" customFormat="1" ht="12.75" customHeight="1">
      <c r="A480" s="459" t="s">
        <v>418</v>
      </c>
      <c r="B480" s="52">
        <v>144</v>
      </c>
      <c r="C480" s="429" t="s">
        <v>281</v>
      </c>
      <c r="D480" s="420" t="s">
        <v>707</v>
      </c>
      <c r="E480" s="419" t="s">
        <v>130</v>
      </c>
      <c r="F480" s="419">
        <v>2</v>
      </c>
      <c r="G480" s="419"/>
      <c r="H480" s="404" t="s">
        <v>968</v>
      </c>
      <c r="I480" s="471" t="s">
        <v>911</v>
      </c>
      <c r="J480" s="419" t="s">
        <v>973</v>
      </c>
      <c r="K480" s="448" t="s">
        <v>88</v>
      </c>
      <c r="L480" s="425">
        <v>135.654</v>
      </c>
      <c r="M480" s="423">
        <v>75</v>
      </c>
      <c r="N480" s="444">
        <v>40179</v>
      </c>
      <c r="O480" s="425">
        <v>406.96199999999999</v>
      </c>
      <c r="P480" s="419" t="s">
        <v>728</v>
      </c>
      <c r="Q480" s="1087"/>
      <c r="R480" s="419"/>
      <c r="S480" s="419"/>
      <c r="T480" s="733"/>
      <c r="U480" s="444"/>
      <c r="V480" s="425"/>
      <c r="W480" s="427"/>
      <c r="X480" s="448"/>
      <c r="Y480" s="419" t="s">
        <v>116</v>
      </c>
      <c r="Z480" s="419" t="s">
        <v>117</v>
      </c>
      <c r="AA480" s="496">
        <v>39613</v>
      </c>
      <c r="AB480" s="496"/>
      <c r="AC480" s="444">
        <v>39836</v>
      </c>
      <c r="AD480" s="444">
        <v>40227</v>
      </c>
      <c r="AE480" s="444">
        <v>40315</v>
      </c>
      <c r="AF480" s="444"/>
      <c r="AG480" s="423"/>
      <c r="AH480" s="423">
        <v>0</v>
      </c>
      <c r="AI480" s="425"/>
      <c r="AJ480" s="423">
        <f>3.3/Exch!B11</f>
        <v>3.9083170407834062</v>
      </c>
      <c r="AK480" s="396">
        <f t="shared" si="25"/>
        <v>28.810923679238403</v>
      </c>
      <c r="AL480" s="423"/>
      <c r="AM480" s="423"/>
      <c r="AN480" s="423"/>
      <c r="AO480" s="419"/>
      <c r="AP480" s="463"/>
      <c r="AQ480" s="782"/>
    </row>
    <row r="481" spans="1:43" s="464" customFormat="1" ht="12.75" customHeight="1">
      <c r="A481" s="459" t="s">
        <v>758</v>
      </c>
      <c r="B481" s="52">
        <v>147</v>
      </c>
      <c r="C481" s="405" t="s">
        <v>1042</v>
      </c>
      <c r="D481" s="392" t="s">
        <v>707</v>
      </c>
      <c r="E481" s="391" t="s">
        <v>1043</v>
      </c>
      <c r="F481" s="391">
        <v>2</v>
      </c>
      <c r="G481" s="391"/>
      <c r="H481" s="394" t="s">
        <v>968</v>
      </c>
      <c r="I481" s="394" t="s">
        <v>845</v>
      </c>
      <c r="J481" s="391" t="s">
        <v>346</v>
      </c>
      <c r="K481" s="404" t="s">
        <v>842</v>
      </c>
      <c r="L481" s="399">
        <v>146.65799999999999</v>
      </c>
      <c r="M481" s="396">
        <v>0</v>
      </c>
      <c r="N481" s="397">
        <v>39448</v>
      </c>
      <c r="O481" s="399">
        <v>733.29</v>
      </c>
      <c r="P481" s="391" t="s">
        <v>1732</v>
      </c>
      <c r="Q481" s="1089"/>
      <c r="R481" s="391"/>
      <c r="S481" s="391"/>
      <c r="T481" s="876"/>
      <c r="U481" s="397"/>
      <c r="V481" s="399"/>
      <c r="W481" s="400"/>
      <c r="X481" s="404"/>
      <c r="Y481" s="391" t="s">
        <v>650</v>
      </c>
      <c r="Z481" s="391" t="s">
        <v>1286</v>
      </c>
      <c r="AA481" s="909">
        <v>39639</v>
      </c>
      <c r="AB481" s="909"/>
      <c r="AC481" s="397"/>
      <c r="AD481" s="397">
        <v>39983</v>
      </c>
      <c r="AE481" s="397">
        <v>40179</v>
      </c>
      <c r="AF481" s="397"/>
      <c r="AG481" s="396"/>
      <c r="AH481" s="396">
        <v>0</v>
      </c>
      <c r="AI481" s="399"/>
      <c r="AJ481" s="396"/>
      <c r="AK481" s="396"/>
      <c r="AL481" s="396"/>
      <c r="AM481" s="396"/>
      <c r="AN481" s="396">
        <f>172.539-30.001</f>
        <v>142.53799999999998</v>
      </c>
      <c r="AO481" s="391"/>
      <c r="AP481" s="463"/>
      <c r="AQ481" s="51"/>
    </row>
    <row r="482" spans="1:43" s="464" customFormat="1" ht="12.75" customHeight="1">
      <c r="A482" s="459" t="s">
        <v>1553</v>
      </c>
      <c r="B482" s="51">
        <v>172</v>
      </c>
      <c r="C482" s="429" t="s">
        <v>1558</v>
      </c>
      <c r="D482" s="420" t="s">
        <v>707</v>
      </c>
      <c r="E482" s="419" t="s">
        <v>1559</v>
      </c>
      <c r="F482" s="419">
        <v>2</v>
      </c>
      <c r="G482" s="419"/>
      <c r="H482" s="404" t="s">
        <v>968</v>
      </c>
      <c r="I482" s="471" t="s">
        <v>1489</v>
      </c>
      <c r="J482" s="1037" t="s">
        <v>1710</v>
      </c>
      <c r="K482" s="448" t="s">
        <v>689</v>
      </c>
      <c r="L482" s="425">
        <v>115.875</v>
      </c>
      <c r="M482" s="423">
        <v>6</v>
      </c>
      <c r="N482" s="444">
        <v>39904</v>
      </c>
      <c r="O482" s="425">
        <v>434.53300000000002</v>
      </c>
      <c r="P482" s="419" t="s">
        <v>1314</v>
      </c>
      <c r="Q482" s="1087">
        <f>108.528</f>
        <v>108.52800000000001</v>
      </c>
      <c r="R482" s="419"/>
      <c r="S482" s="419"/>
      <c r="T482" s="733">
        <v>41068</v>
      </c>
      <c r="U482" s="444">
        <v>41274</v>
      </c>
      <c r="V482" s="425">
        <v>420.89130230812532</v>
      </c>
      <c r="W482" s="400">
        <f>Q482/V482</f>
        <v>0.25785279810925871</v>
      </c>
      <c r="X482" s="419" t="s">
        <v>1314</v>
      </c>
      <c r="Y482" s="419" t="s">
        <v>427</v>
      </c>
      <c r="Z482" s="419" t="s">
        <v>1560</v>
      </c>
      <c r="AA482" s="496">
        <v>39875</v>
      </c>
      <c r="AB482" s="496"/>
      <c r="AC482" s="444">
        <v>40653</v>
      </c>
      <c r="AD482" s="444">
        <v>40750</v>
      </c>
      <c r="AE482" s="444">
        <v>40871</v>
      </c>
      <c r="AF482" s="444"/>
      <c r="AG482" s="423"/>
      <c r="AH482" s="423">
        <v>3</v>
      </c>
      <c r="AI482" s="425">
        <f>26280*0.9/AH482</f>
        <v>7884</v>
      </c>
      <c r="AJ482" s="425">
        <v>7.2832369999999997</v>
      </c>
      <c r="AK482" s="423">
        <f>AJ482*1000/L482</f>
        <v>62.854256742179075</v>
      </c>
      <c r="AL482" s="423">
        <f>AJ482*1000/AH482</f>
        <v>2427.7456666666667</v>
      </c>
      <c r="AM482" s="423"/>
      <c r="AN482" s="425"/>
      <c r="AO482" s="419"/>
      <c r="AP482" s="463"/>
      <c r="AQ482" s="51"/>
    </row>
    <row r="483" spans="1:43" s="464" customFormat="1" ht="12.75" customHeight="1">
      <c r="A483" s="459" t="s">
        <v>478</v>
      </c>
      <c r="B483" s="51">
        <v>187</v>
      </c>
      <c r="C483" s="429" t="s">
        <v>1613</v>
      </c>
      <c r="D483" s="420" t="s">
        <v>707</v>
      </c>
      <c r="E483" s="419" t="s">
        <v>1043</v>
      </c>
      <c r="F483" s="419">
        <v>2</v>
      </c>
      <c r="G483" s="419"/>
      <c r="H483" s="404" t="s">
        <v>968</v>
      </c>
      <c r="I483" s="724" t="s">
        <v>1576</v>
      </c>
      <c r="J483" s="428" t="s">
        <v>1614</v>
      </c>
      <c r="K483" s="448" t="s">
        <v>122</v>
      </c>
      <c r="L483" s="425">
        <v>58.316000000000003</v>
      </c>
      <c r="M483" s="423">
        <v>0</v>
      </c>
      <c r="N483" s="444">
        <v>40179</v>
      </c>
      <c r="O483" s="425">
        <f>L483*3</f>
        <v>174.94800000000001</v>
      </c>
      <c r="P483" s="419" t="s">
        <v>728</v>
      </c>
      <c r="Q483" s="1087">
        <f>46.693</f>
        <v>46.692999999999998</v>
      </c>
      <c r="R483" s="425"/>
      <c r="S483" s="425"/>
      <c r="T483" s="733">
        <v>41067</v>
      </c>
      <c r="U483" s="444">
        <v>40908</v>
      </c>
      <c r="V483" s="425">
        <v>116.4722301369863</v>
      </c>
      <c r="W483" s="400">
        <f>Q483/V483</f>
        <v>0.40089384349456547</v>
      </c>
      <c r="X483" s="404" t="s">
        <v>728</v>
      </c>
      <c r="Y483" s="419" t="s">
        <v>1615</v>
      </c>
      <c r="Z483" s="419" t="s">
        <v>1616</v>
      </c>
      <c r="AA483" s="496">
        <v>40001</v>
      </c>
      <c r="AB483" s="496"/>
      <c r="AC483" s="444">
        <v>40198</v>
      </c>
      <c r="AD483" s="444">
        <v>40313</v>
      </c>
      <c r="AE483" s="444">
        <v>40357</v>
      </c>
      <c r="AF483" s="444"/>
      <c r="AG483" s="423"/>
      <c r="AH483" s="423">
        <v>12.5</v>
      </c>
      <c r="AI483" s="425">
        <v>8000</v>
      </c>
      <c r="AJ483" s="423">
        <f>22.93281899/Exch!B11</f>
        <v>27.160220379338885</v>
      </c>
      <c r="AK483" s="423">
        <f>AJ483*1000/L483</f>
        <v>465.74216989057692</v>
      </c>
      <c r="AL483" s="425">
        <f>AJ483*1000/AH483</f>
        <v>2172.8176303471105</v>
      </c>
      <c r="AM483" s="423"/>
      <c r="AN483" s="423"/>
      <c r="AO483" s="419"/>
      <c r="AP483" s="463"/>
      <c r="AQ483" s="782"/>
    </row>
    <row r="484" spans="1:43" s="464" customFormat="1" ht="27" customHeight="1">
      <c r="A484" s="459" t="s">
        <v>1609</v>
      </c>
      <c r="B484" s="52">
        <v>188</v>
      </c>
      <c r="C484" s="429" t="s">
        <v>1617</v>
      </c>
      <c r="D484" s="420" t="s">
        <v>707</v>
      </c>
      <c r="E484" s="419" t="s">
        <v>1619</v>
      </c>
      <c r="F484" s="419">
        <v>2</v>
      </c>
      <c r="G484" s="419"/>
      <c r="H484" s="404" t="s">
        <v>968</v>
      </c>
      <c r="I484" s="724" t="s">
        <v>973</v>
      </c>
      <c r="J484" s="419"/>
      <c r="K484" s="533" t="s">
        <v>2001</v>
      </c>
      <c r="L484" s="425">
        <v>41.344000000000001</v>
      </c>
      <c r="M484" s="423">
        <v>15</v>
      </c>
      <c r="N484" s="444">
        <v>39995</v>
      </c>
      <c r="O484" s="425">
        <v>165.37799999999999</v>
      </c>
      <c r="P484" s="419" t="s">
        <v>728</v>
      </c>
      <c r="Q484" s="1087">
        <f>18.123</f>
        <v>18.123000000000001</v>
      </c>
      <c r="R484" s="425"/>
      <c r="S484" s="425"/>
      <c r="T484" s="733">
        <v>40806</v>
      </c>
      <c r="U484" s="444">
        <v>40633</v>
      </c>
      <c r="V484" s="425">
        <v>29.633944680052537</v>
      </c>
      <c r="W484" s="400">
        <f>Q484/V484</f>
        <v>0.61156218639360271</v>
      </c>
      <c r="X484" s="404" t="s">
        <v>728</v>
      </c>
      <c r="Y484" s="419" t="s">
        <v>1618</v>
      </c>
      <c r="Z484" s="419" t="s">
        <v>1616</v>
      </c>
      <c r="AA484" s="496">
        <v>40010</v>
      </c>
      <c r="AB484" s="496"/>
      <c r="AC484" s="444">
        <v>40437</v>
      </c>
      <c r="AD484" s="444">
        <v>40485</v>
      </c>
      <c r="AE484" s="444">
        <v>40529</v>
      </c>
      <c r="AF484" s="444"/>
      <c r="AG484" s="423"/>
      <c r="AH484" s="423">
        <v>0</v>
      </c>
      <c r="AI484" s="425"/>
      <c r="AJ484" s="423"/>
      <c r="AK484" s="423"/>
      <c r="AL484" s="423"/>
      <c r="AM484" s="423"/>
      <c r="AN484" s="423"/>
      <c r="AO484" s="419"/>
      <c r="AP484" s="514"/>
      <c r="AQ484" s="51"/>
    </row>
    <row r="485" spans="1:43" s="464" customFormat="1" ht="12.75" customHeight="1">
      <c r="A485" s="459" t="s">
        <v>740</v>
      </c>
      <c r="B485" s="52">
        <v>198</v>
      </c>
      <c r="C485" s="445" t="s">
        <v>2218</v>
      </c>
      <c r="D485" s="420" t="s">
        <v>707</v>
      </c>
      <c r="E485" s="419" t="s">
        <v>1043</v>
      </c>
      <c r="F485" s="419">
        <v>2</v>
      </c>
      <c r="G485" s="419"/>
      <c r="H485" s="404" t="s">
        <v>968</v>
      </c>
      <c r="I485" s="471" t="s">
        <v>1735</v>
      </c>
      <c r="J485" s="419" t="s">
        <v>742</v>
      </c>
      <c r="K485" s="448" t="s">
        <v>743</v>
      </c>
      <c r="L485" s="425">
        <v>201.95099999999999</v>
      </c>
      <c r="M485" s="423">
        <v>75</v>
      </c>
      <c r="N485" s="444">
        <v>39812</v>
      </c>
      <c r="O485" s="425">
        <f>935.279</f>
        <v>935.279</v>
      </c>
      <c r="P485" s="419" t="s">
        <v>728</v>
      </c>
      <c r="Q485" s="1087">
        <f>97.297+189.769+126.649</f>
        <v>413.71500000000003</v>
      </c>
      <c r="R485" s="425"/>
      <c r="S485" s="425"/>
      <c r="T485" s="733">
        <v>40621</v>
      </c>
      <c r="U485" s="444">
        <v>40908</v>
      </c>
      <c r="V485" s="425">
        <v>381.50931161568775</v>
      </c>
      <c r="W485" s="400">
        <f>Q485/V485</f>
        <v>1.084416519869257</v>
      </c>
      <c r="X485" s="393" t="s">
        <v>728</v>
      </c>
      <c r="Y485" s="419" t="s">
        <v>1615</v>
      </c>
      <c r="Z485" s="419" t="s">
        <v>1616</v>
      </c>
      <c r="AA485" s="496">
        <v>40114</v>
      </c>
      <c r="AB485" s="496"/>
      <c r="AC485" s="444">
        <v>40409</v>
      </c>
      <c r="AD485" s="444">
        <v>40551</v>
      </c>
      <c r="AE485" s="444">
        <v>40596</v>
      </c>
      <c r="AF485" s="444"/>
      <c r="AG485" s="423"/>
      <c r="AH485" s="379"/>
      <c r="AI485" s="425"/>
      <c r="AJ485" s="423">
        <f>60/Exch!B11</f>
        <v>71.060309832425574</v>
      </c>
      <c r="AK485" s="423">
        <f>AJ485*1000/L485</f>
        <v>351.86906641920848</v>
      </c>
      <c r="AL485" s="423"/>
      <c r="AM485" s="423"/>
      <c r="AN485" s="423"/>
      <c r="AO485" s="419"/>
      <c r="AP485" s="514"/>
      <c r="AQ485" s="51"/>
    </row>
    <row r="486" spans="1:43" s="464" customFormat="1" ht="27" customHeight="1">
      <c r="A486" s="459" t="s">
        <v>1419</v>
      </c>
      <c r="B486" s="52">
        <v>211</v>
      </c>
      <c r="C486" s="419" t="s">
        <v>1442</v>
      </c>
      <c r="D486" s="420" t="s">
        <v>707</v>
      </c>
      <c r="E486" s="419" t="s">
        <v>603</v>
      </c>
      <c r="F486" s="419">
        <v>2</v>
      </c>
      <c r="G486" s="419"/>
      <c r="H486" s="404" t="s">
        <v>968</v>
      </c>
      <c r="I486" s="533" t="s">
        <v>911</v>
      </c>
      <c r="J486" s="428" t="s">
        <v>1614</v>
      </c>
      <c r="K486" s="448" t="s">
        <v>680</v>
      </c>
      <c r="L486" s="425">
        <v>52.322000000000003</v>
      </c>
      <c r="M486" s="423">
        <v>3.5</v>
      </c>
      <c r="N486" s="444">
        <v>39479</v>
      </c>
      <c r="O486" s="425">
        <v>256.01299999999998</v>
      </c>
      <c r="P486" s="419" t="s">
        <v>728</v>
      </c>
      <c r="Q486" s="1087">
        <f>78.583+67.598+83.437</f>
        <v>229.61799999999999</v>
      </c>
      <c r="R486" s="425"/>
      <c r="S486" s="425"/>
      <c r="T486" s="733">
        <v>40633</v>
      </c>
      <c r="U486" s="444">
        <v>41152</v>
      </c>
      <c r="V486" s="425">
        <v>236.48076329517733</v>
      </c>
      <c r="W486" s="427">
        <f>Q486/V486</f>
        <v>0.9709796128888033</v>
      </c>
      <c r="X486" s="448" t="s">
        <v>728</v>
      </c>
      <c r="Y486" s="419" t="s">
        <v>1084</v>
      </c>
      <c r="Z486" s="429" t="s">
        <v>352</v>
      </c>
      <c r="AA486" s="479">
        <v>40183</v>
      </c>
      <c r="AB486" s="496"/>
      <c r="AC486" s="444">
        <v>40315</v>
      </c>
      <c r="AD486" s="444">
        <v>40355</v>
      </c>
      <c r="AE486" s="444">
        <v>40399</v>
      </c>
      <c r="AF486" s="444" t="s">
        <v>2002</v>
      </c>
      <c r="AG486" s="423"/>
      <c r="AH486" s="927">
        <v>12</v>
      </c>
      <c r="AI486" s="425">
        <f>52600/AH486</f>
        <v>4383.333333333333</v>
      </c>
      <c r="AJ486" s="551">
        <f>23.251/6.83/Exch!B11</f>
        <v>4.0317795605508229</v>
      </c>
      <c r="AK486" s="423">
        <f>AJ486*1000/L486</f>
        <v>77.057061284943671</v>
      </c>
      <c r="AL486" s="425">
        <f>AJ486*1000/AH486</f>
        <v>335.98163004590191</v>
      </c>
      <c r="AM486" s="423"/>
      <c r="AN486" s="423"/>
      <c r="AO486" s="419"/>
      <c r="AP486" s="514"/>
      <c r="AQ486" s="51"/>
    </row>
    <row r="487" spans="1:43" s="464" customFormat="1" ht="27.75" customHeight="1">
      <c r="A487" s="459" t="s">
        <v>1420</v>
      </c>
      <c r="B487" s="52">
        <v>212</v>
      </c>
      <c r="C487" s="419" t="s">
        <v>2901</v>
      </c>
      <c r="D487" s="420" t="s">
        <v>707</v>
      </c>
      <c r="E487" s="419" t="s">
        <v>1562</v>
      </c>
      <c r="F487" s="419">
        <v>2</v>
      </c>
      <c r="G487" s="419"/>
      <c r="H487" s="393" t="s">
        <v>968</v>
      </c>
      <c r="I487" s="533" t="s">
        <v>1488</v>
      </c>
      <c r="J487" s="419" t="s">
        <v>1563</v>
      </c>
      <c r="K487" s="421" t="s">
        <v>689</v>
      </c>
      <c r="L487" s="425">
        <v>20.872</v>
      </c>
      <c r="M487" s="423">
        <v>10</v>
      </c>
      <c r="N487" s="431">
        <v>40452</v>
      </c>
      <c r="O487" s="425">
        <v>46.962000000000003</v>
      </c>
      <c r="P487" s="548" t="s">
        <v>1550</v>
      </c>
      <c r="Q487" s="1087"/>
      <c r="R487" s="425"/>
      <c r="S487" s="425"/>
      <c r="T487" s="733"/>
      <c r="U487" s="444"/>
      <c r="V487" s="425"/>
      <c r="W487" s="427"/>
      <c r="X487" s="549"/>
      <c r="Y487" s="419" t="s">
        <v>1084</v>
      </c>
      <c r="Z487" s="429" t="s">
        <v>1564</v>
      </c>
      <c r="AA487" s="479">
        <v>40194</v>
      </c>
      <c r="AB487" s="496"/>
      <c r="AC487" s="881">
        <v>40429</v>
      </c>
      <c r="AD487" s="444">
        <v>40751</v>
      </c>
      <c r="AE487" s="444">
        <v>40914</v>
      </c>
      <c r="AF487" s="444"/>
      <c r="AG487" s="423"/>
      <c r="AH487" s="423">
        <v>0</v>
      </c>
      <c r="AI487" s="425"/>
      <c r="AJ487" s="551">
        <f>0.592332</f>
        <v>0.59233199999999997</v>
      </c>
      <c r="AK487" s="423">
        <f>AJ487*1000/L487</f>
        <v>28.379264085856651</v>
      </c>
      <c r="AL487" s="425"/>
      <c r="AM487" s="423"/>
      <c r="AN487" s="423"/>
      <c r="AO487" s="419"/>
      <c r="AP487" s="514"/>
      <c r="AQ487" s="51"/>
    </row>
    <row r="488" spans="1:43" s="464" customFormat="1" ht="27" customHeight="1">
      <c r="A488" s="459" t="s">
        <v>1436</v>
      </c>
      <c r="B488" s="52">
        <v>214</v>
      </c>
      <c r="C488" s="419" t="s">
        <v>693</v>
      </c>
      <c r="D488" s="420" t="s">
        <v>707</v>
      </c>
      <c r="E488" s="419" t="s">
        <v>1043</v>
      </c>
      <c r="F488" s="419">
        <v>2</v>
      </c>
      <c r="G488" s="419"/>
      <c r="H488" s="404" t="s">
        <v>968</v>
      </c>
      <c r="I488" s="455" t="s">
        <v>845</v>
      </c>
      <c r="J488" s="927" t="s">
        <v>346</v>
      </c>
      <c r="K488" s="448" t="s">
        <v>680</v>
      </c>
      <c r="L488" s="425">
        <v>98.813000000000002</v>
      </c>
      <c r="M488" s="423">
        <v>0</v>
      </c>
      <c r="N488" s="444">
        <v>39448</v>
      </c>
      <c r="O488" s="425">
        <v>453.94200000000001</v>
      </c>
      <c r="P488" s="419" t="s">
        <v>728</v>
      </c>
      <c r="Q488" s="1087">
        <f>174.411+108.714+337.608</f>
        <v>620.73299999999995</v>
      </c>
      <c r="R488" s="425"/>
      <c r="S488" s="425"/>
      <c r="T488" s="733">
        <v>40354</v>
      </c>
      <c r="U488" s="444">
        <v>40968</v>
      </c>
      <c r="V488" s="425">
        <v>411.49523287671229</v>
      </c>
      <c r="W488" s="427">
        <f>Q488/V488</f>
        <v>1.5084816309062252</v>
      </c>
      <c r="X488" s="455" t="s">
        <v>728</v>
      </c>
      <c r="Y488" s="419" t="s">
        <v>1615</v>
      </c>
      <c r="Z488" s="429" t="s">
        <v>1616</v>
      </c>
      <c r="AA488" s="479">
        <v>40196</v>
      </c>
      <c r="AB488" s="496"/>
      <c r="AC488" s="865">
        <v>40353</v>
      </c>
      <c r="AD488" s="444">
        <v>40375</v>
      </c>
      <c r="AE488" s="444">
        <v>40419</v>
      </c>
      <c r="AF488" s="444"/>
      <c r="AG488" s="423"/>
      <c r="AH488" s="423">
        <v>0</v>
      </c>
      <c r="AI488" s="425"/>
      <c r="AJ488" s="1025"/>
      <c r="AK488" s="423"/>
      <c r="AL488" s="425"/>
      <c r="AM488" s="423"/>
      <c r="AN488" s="423"/>
      <c r="AO488" s="419"/>
      <c r="AP488" s="514"/>
      <c r="AQ488" s="782"/>
    </row>
    <row r="489" spans="1:43" s="464" customFormat="1" ht="27" customHeight="1">
      <c r="A489" s="459" t="s">
        <v>1745</v>
      </c>
      <c r="B489" s="781">
        <v>217</v>
      </c>
      <c r="C489" s="445" t="s">
        <v>2494</v>
      </c>
      <c r="D489" s="420" t="s">
        <v>707</v>
      </c>
      <c r="E489" s="419" t="s">
        <v>1760</v>
      </c>
      <c r="F489" s="419">
        <v>2</v>
      </c>
      <c r="G489" s="419"/>
      <c r="H489" s="404" t="s">
        <v>968</v>
      </c>
      <c r="I489" s="533" t="s">
        <v>981</v>
      </c>
      <c r="J489" s="428" t="s">
        <v>1173</v>
      </c>
      <c r="K489" s="448" t="s">
        <v>4</v>
      </c>
      <c r="L489" s="425">
        <v>580.25</v>
      </c>
      <c r="M489" s="423">
        <v>0</v>
      </c>
      <c r="N489" s="444">
        <v>40483</v>
      </c>
      <c r="O489" s="425">
        <f>L489*2.167</f>
        <v>1257.40175</v>
      </c>
      <c r="P489" s="480" t="s">
        <v>1732</v>
      </c>
      <c r="Q489" s="1087"/>
      <c r="R489" s="425"/>
      <c r="S489" s="425"/>
      <c r="T489" s="733"/>
      <c r="U489" s="444"/>
      <c r="V489" s="425"/>
      <c r="W489" s="427"/>
      <c r="X489" s="448"/>
      <c r="Y489" s="445" t="s">
        <v>2309</v>
      </c>
      <c r="Z489" s="429" t="s">
        <v>1473</v>
      </c>
      <c r="AA489" s="479">
        <v>40214</v>
      </c>
      <c r="AB489" s="496"/>
      <c r="AC489" s="444">
        <v>40534</v>
      </c>
      <c r="AD489" s="444">
        <v>40649</v>
      </c>
      <c r="AE489" s="444"/>
      <c r="AF489" s="444"/>
      <c r="AG489" s="423"/>
      <c r="AH489" s="423">
        <v>0</v>
      </c>
      <c r="AI489" s="425"/>
      <c r="AJ489" s="885"/>
      <c r="AK489" s="423"/>
      <c r="AL489" s="425"/>
      <c r="AM489" s="423"/>
      <c r="AN489" s="423"/>
      <c r="AO489" s="419"/>
      <c r="AP489" s="514"/>
      <c r="AQ489" s="466"/>
    </row>
    <row r="490" spans="1:43" s="464" customFormat="1" ht="28.5" customHeight="1">
      <c r="A490" s="465" t="s">
        <v>1974</v>
      </c>
      <c r="B490" s="468">
        <v>231</v>
      </c>
      <c r="C490" s="445" t="s">
        <v>2754</v>
      </c>
      <c r="D490" s="449" t="s">
        <v>707</v>
      </c>
      <c r="E490" s="419" t="s">
        <v>1043</v>
      </c>
      <c r="F490" s="419">
        <v>2</v>
      </c>
      <c r="G490" s="419"/>
      <c r="H490" s="421" t="s">
        <v>968</v>
      </c>
      <c r="I490" s="455" t="s">
        <v>911</v>
      </c>
      <c r="J490" s="419" t="s">
        <v>1577</v>
      </c>
      <c r="K490" s="448" t="s">
        <v>680</v>
      </c>
      <c r="L490" s="425">
        <v>276.137</v>
      </c>
      <c r="M490" s="423">
        <v>0</v>
      </c>
      <c r="N490" s="805">
        <v>39448</v>
      </c>
      <c r="O490" s="425">
        <f>L490*5</f>
        <v>1380.6849999999999</v>
      </c>
      <c r="P490" s="493" t="s">
        <v>728</v>
      </c>
      <c r="Q490" s="1087">
        <f>1369.211</f>
        <v>1369.211</v>
      </c>
      <c r="R490" s="425"/>
      <c r="S490" s="425"/>
      <c r="T490" s="733">
        <v>40988</v>
      </c>
      <c r="U490" s="444">
        <v>40847</v>
      </c>
      <c r="V490" s="425">
        <v>1058.3990767123289</v>
      </c>
      <c r="W490" s="400">
        <f t="shared" ref="W490:W498" si="26">Q490/V490</f>
        <v>1.2936623152139703</v>
      </c>
      <c r="X490" s="544" t="s">
        <v>728</v>
      </c>
      <c r="Y490" s="445" t="s">
        <v>1615</v>
      </c>
      <c r="Z490" s="532" t="s">
        <v>1616</v>
      </c>
      <c r="AA490" s="496">
        <v>40365</v>
      </c>
      <c r="AB490" s="496"/>
      <c r="AC490" s="881">
        <v>40848</v>
      </c>
      <c r="AD490" s="444">
        <v>40862</v>
      </c>
      <c r="AE490" s="444">
        <v>40907</v>
      </c>
      <c r="AF490" s="444"/>
      <c r="AG490" s="423"/>
      <c r="AH490" s="423">
        <v>0</v>
      </c>
      <c r="AI490" s="425"/>
      <c r="AJ490" s="423"/>
      <c r="AK490" s="423"/>
      <c r="AL490" s="423"/>
      <c r="AM490" s="423"/>
      <c r="AN490" s="423"/>
      <c r="AO490" s="419"/>
      <c r="AP490" s="463"/>
      <c r="AQ490" s="51"/>
    </row>
    <row r="491" spans="1:43" s="464" customFormat="1" ht="27" customHeight="1">
      <c r="A491" s="491" t="s">
        <v>2265</v>
      </c>
      <c r="B491" s="467">
        <v>246</v>
      </c>
      <c r="C491" s="445" t="s">
        <v>2263</v>
      </c>
      <c r="D491" s="449" t="s">
        <v>707</v>
      </c>
      <c r="E491" s="445" t="s">
        <v>229</v>
      </c>
      <c r="F491" s="419">
        <v>2</v>
      </c>
      <c r="G491" s="419"/>
      <c r="H491" s="448" t="s">
        <v>968</v>
      </c>
      <c r="I491" s="455" t="s">
        <v>1548</v>
      </c>
      <c r="J491" s="552" t="s">
        <v>2264</v>
      </c>
      <c r="K491" s="448" t="s">
        <v>2001</v>
      </c>
      <c r="L491" s="423">
        <v>195.73699999999999</v>
      </c>
      <c r="M491" s="423">
        <v>45</v>
      </c>
      <c r="N491" s="444">
        <v>40179</v>
      </c>
      <c r="O491" s="425">
        <v>587.21100000000001</v>
      </c>
      <c r="P491" s="548" t="s">
        <v>1731</v>
      </c>
      <c r="Q491" s="1087">
        <f>219.704</f>
        <v>219.70400000000001</v>
      </c>
      <c r="R491" s="425"/>
      <c r="S491" s="425"/>
      <c r="T491" s="733">
        <v>40898</v>
      </c>
      <c r="U491" s="444">
        <v>40847</v>
      </c>
      <c r="V491" s="425">
        <v>227.69664357290296</v>
      </c>
      <c r="W491" s="400">
        <f t="shared" si="26"/>
        <v>0.96489784193791206</v>
      </c>
      <c r="X491" s="404" t="s">
        <v>728</v>
      </c>
      <c r="Y491" s="445" t="s">
        <v>1615</v>
      </c>
      <c r="Z491" s="419" t="s">
        <v>1616</v>
      </c>
      <c r="AA491" s="444">
        <v>40597</v>
      </c>
      <c r="AB491" s="444"/>
      <c r="AC491" s="444">
        <v>40781</v>
      </c>
      <c r="AD491" s="444">
        <v>40815</v>
      </c>
      <c r="AE491" s="444">
        <v>40859</v>
      </c>
      <c r="AF491" s="444"/>
      <c r="AG491" s="419"/>
      <c r="AH491" s="423">
        <v>0</v>
      </c>
      <c r="AI491" s="425"/>
      <c r="AJ491" s="423">
        <f>61.151/7.994</f>
        <v>7.6496122091568681</v>
      </c>
      <c r="AK491" s="423">
        <f>AJ491*1000/L491</f>
        <v>39.081074141101929</v>
      </c>
      <c r="AL491" s="419"/>
      <c r="AM491" s="419"/>
      <c r="AN491" s="419"/>
      <c r="AO491" s="419"/>
      <c r="AP491" s="530"/>
      <c r="AQ491" s="782"/>
    </row>
    <row r="492" spans="1:43" s="464" customFormat="1" ht="42" customHeight="1">
      <c r="A492" s="491" t="s">
        <v>2797</v>
      </c>
      <c r="B492" s="467">
        <v>285</v>
      </c>
      <c r="C492" s="445" t="s">
        <v>2789</v>
      </c>
      <c r="D492" s="449" t="s">
        <v>707</v>
      </c>
      <c r="E492" s="445" t="s">
        <v>1043</v>
      </c>
      <c r="F492" s="419">
        <v>2</v>
      </c>
      <c r="G492" s="419"/>
      <c r="H492" s="448" t="s">
        <v>968</v>
      </c>
      <c r="I492" s="455" t="s">
        <v>719</v>
      </c>
      <c r="J492" s="445" t="s">
        <v>2795</v>
      </c>
      <c r="K492" s="455" t="s">
        <v>2796</v>
      </c>
      <c r="L492" s="423">
        <v>3.7959999999999998</v>
      </c>
      <c r="M492" s="423">
        <v>0.8</v>
      </c>
      <c r="N492" s="444">
        <v>40581</v>
      </c>
      <c r="O492" s="425">
        <f>L492*1.896</f>
        <v>7.1972159999999992</v>
      </c>
      <c r="P492" s="868" t="s">
        <v>896</v>
      </c>
      <c r="Q492" s="1087">
        <f>3.535</f>
        <v>3.5350000000000001</v>
      </c>
      <c r="R492" s="423"/>
      <c r="S492" s="423"/>
      <c r="T492" s="733">
        <v>41390</v>
      </c>
      <c r="U492" s="444">
        <v>41152</v>
      </c>
      <c r="V492" s="425">
        <v>3.788551247888909</v>
      </c>
      <c r="W492" s="400">
        <f t="shared" si="26"/>
        <v>0.93307435183034804</v>
      </c>
      <c r="X492" s="448" t="s">
        <v>896</v>
      </c>
      <c r="Y492" s="419" t="s">
        <v>2988</v>
      </c>
      <c r="Z492" s="445" t="s">
        <v>1290</v>
      </c>
      <c r="AA492" s="444">
        <v>40878</v>
      </c>
      <c r="AB492" s="444"/>
      <c r="AC492" s="444">
        <v>40844</v>
      </c>
      <c r="AD492" s="444">
        <v>40999</v>
      </c>
      <c r="AE492" s="444">
        <v>41043</v>
      </c>
      <c r="AF492" s="444" t="s">
        <v>1465</v>
      </c>
      <c r="AG492" s="419"/>
      <c r="AH492" s="419"/>
      <c r="AI492" s="419"/>
      <c r="AJ492" s="419"/>
      <c r="AK492" s="419"/>
      <c r="AL492" s="419"/>
      <c r="AM492" s="419"/>
      <c r="AN492" s="419"/>
      <c r="AO492" s="445"/>
      <c r="AP492" s="463"/>
      <c r="AQ492" s="466"/>
    </row>
    <row r="493" spans="1:43" s="464" customFormat="1" ht="39.75" customHeight="1">
      <c r="A493" s="491" t="s">
        <v>2798</v>
      </c>
      <c r="B493" s="467">
        <v>286</v>
      </c>
      <c r="C493" s="445" t="s">
        <v>2790</v>
      </c>
      <c r="D493" s="449" t="s">
        <v>707</v>
      </c>
      <c r="E493" s="445" t="s">
        <v>1043</v>
      </c>
      <c r="F493" s="419">
        <v>2</v>
      </c>
      <c r="G493" s="419"/>
      <c r="H493" s="448" t="s">
        <v>968</v>
      </c>
      <c r="I493" s="455" t="s">
        <v>719</v>
      </c>
      <c r="J493" s="449" t="s">
        <v>2795</v>
      </c>
      <c r="K493" s="455" t="s">
        <v>2796</v>
      </c>
      <c r="L493" s="423">
        <v>1.764</v>
      </c>
      <c r="M493" s="423">
        <v>0.4</v>
      </c>
      <c r="N493" s="444">
        <v>40581</v>
      </c>
      <c r="O493" s="425">
        <f>L493*1.896</f>
        <v>3.344544</v>
      </c>
      <c r="P493" s="513" t="s">
        <v>896</v>
      </c>
      <c r="Q493" s="1087">
        <f>1.433</f>
        <v>1.4330000000000001</v>
      </c>
      <c r="R493" s="423"/>
      <c r="S493" s="423"/>
      <c r="T493" s="733">
        <v>41390</v>
      </c>
      <c r="U493" s="444">
        <v>41152</v>
      </c>
      <c r="V493" s="425">
        <v>1.6846482266841807</v>
      </c>
      <c r="W493" s="400">
        <f t="shared" si="26"/>
        <v>0.85062268626875959</v>
      </c>
      <c r="X493" s="448" t="s">
        <v>896</v>
      </c>
      <c r="Y493" s="419" t="s">
        <v>2988</v>
      </c>
      <c r="Z493" s="445" t="s">
        <v>1290</v>
      </c>
      <c r="AA493" s="444">
        <v>40878</v>
      </c>
      <c r="AB493" s="444"/>
      <c r="AC493" s="444">
        <v>40841</v>
      </c>
      <c r="AD493" s="444">
        <v>40997</v>
      </c>
      <c r="AE493" s="444">
        <v>41043</v>
      </c>
      <c r="AF493" s="444" t="s">
        <v>1465</v>
      </c>
      <c r="AG493" s="419"/>
      <c r="AH493" s="419"/>
      <c r="AI493" s="419"/>
      <c r="AJ493" s="419"/>
      <c r="AK493" s="419"/>
      <c r="AL493" s="419"/>
      <c r="AM493" s="419"/>
      <c r="AN493" s="419"/>
      <c r="AO493" s="445"/>
      <c r="AP493" s="463"/>
      <c r="AQ493" s="466"/>
    </row>
    <row r="494" spans="1:43" s="464" customFormat="1" ht="37.5" customHeight="1">
      <c r="A494" s="491" t="s">
        <v>2799</v>
      </c>
      <c r="B494" s="467">
        <v>287</v>
      </c>
      <c r="C494" s="445" t="s">
        <v>2791</v>
      </c>
      <c r="D494" s="449" t="s">
        <v>707</v>
      </c>
      <c r="E494" s="445" t="s">
        <v>1043</v>
      </c>
      <c r="F494" s="419">
        <v>2</v>
      </c>
      <c r="G494" s="419"/>
      <c r="H494" s="448" t="s">
        <v>968</v>
      </c>
      <c r="I494" s="455" t="s">
        <v>719</v>
      </c>
      <c r="J494" s="449" t="s">
        <v>2795</v>
      </c>
      <c r="K494" s="455" t="s">
        <v>2796</v>
      </c>
      <c r="L494" s="423">
        <v>3.9729999999999999</v>
      </c>
      <c r="M494" s="423">
        <v>0</v>
      </c>
      <c r="N494" s="444">
        <v>40581</v>
      </c>
      <c r="O494" s="425">
        <f>L494*1.896</f>
        <v>7.5328079999999993</v>
      </c>
      <c r="P494" s="868" t="s">
        <v>896</v>
      </c>
      <c r="Q494" s="1087">
        <v>4.5609999999999999</v>
      </c>
      <c r="R494" s="423"/>
      <c r="S494" s="423"/>
      <c r="T494" s="733">
        <v>41390</v>
      </c>
      <c r="U494" s="444">
        <v>41152</v>
      </c>
      <c r="V494" s="425">
        <v>6.2152958904109585</v>
      </c>
      <c r="W494" s="400">
        <f t="shared" si="26"/>
        <v>0.73383473295885582</v>
      </c>
      <c r="X494" s="448" t="s">
        <v>896</v>
      </c>
      <c r="Y494" s="419" t="s">
        <v>2988</v>
      </c>
      <c r="Z494" s="445" t="s">
        <v>1290</v>
      </c>
      <c r="AA494" s="444">
        <v>40878</v>
      </c>
      <c r="AB494" s="444"/>
      <c r="AC494" s="444">
        <v>40844</v>
      </c>
      <c r="AD494" s="444">
        <v>40631</v>
      </c>
      <c r="AE494" s="444">
        <v>41046</v>
      </c>
      <c r="AF494" s="444" t="s">
        <v>1465</v>
      </c>
      <c r="AG494" s="419"/>
      <c r="AH494" s="419"/>
      <c r="AI494" s="419"/>
      <c r="AJ494" s="419"/>
      <c r="AK494" s="419"/>
      <c r="AL494" s="419"/>
      <c r="AM494" s="419"/>
      <c r="AN494" s="419"/>
      <c r="AO494" s="445"/>
      <c r="AP494" s="463"/>
      <c r="AQ494" s="466"/>
    </row>
    <row r="495" spans="1:43" s="464" customFormat="1" ht="39.75" customHeight="1">
      <c r="A495" s="491" t="s">
        <v>2800</v>
      </c>
      <c r="B495" s="467">
        <v>288</v>
      </c>
      <c r="C495" s="445" t="s">
        <v>2792</v>
      </c>
      <c r="D495" s="449" t="s">
        <v>707</v>
      </c>
      <c r="E495" s="445" t="s">
        <v>1043</v>
      </c>
      <c r="F495" s="419">
        <v>2</v>
      </c>
      <c r="G495" s="419"/>
      <c r="H495" s="448" t="s">
        <v>968</v>
      </c>
      <c r="I495" s="455" t="s">
        <v>719</v>
      </c>
      <c r="J495" s="449" t="s">
        <v>2795</v>
      </c>
      <c r="K495" s="455" t="s">
        <v>2796</v>
      </c>
      <c r="L495" s="423">
        <v>8.2739999999999991</v>
      </c>
      <c r="M495" s="423">
        <v>0</v>
      </c>
      <c r="N495" s="444">
        <v>40581</v>
      </c>
      <c r="O495" s="425">
        <f>L495*1.896</f>
        <v>15.687503999999997</v>
      </c>
      <c r="P495" s="868" t="s">
        <v>896</v>
      </c>
      <c r="Q495" s="1087">
        <v>10.074</v>
      </c>
      <c r="R495" s="425"/>
      <c r="S495" s="425"/>
      <c r="T495" s="733">
        <v>41390</v>
      </c>
      <c r="U495" s="444">
        <v>41152</v>
      </c>
      <c r="V495" s="425">
        <v>12.943709589041093</v>
      </c>
      <c r="W495" s="400">
        <f t="shared" si="26"/>
        <v>0.77829311069596629</v>
      </c>
      <c r="X495" s="448" t="s">
        <v>896</v>
      </c>
      <c r="Y495" s="419" t="s">
        <v>2988</v>
      </c>
      <c r="Z495" s="445" t="s">
        <v>1290</v>
      </c>
      <c r="AA495" s="444">
        <v>40878</v>
      </c>
      <c r="AB495" s="444"/>
      <c r="AC495" s="444">
        <v>40851</v>
      </c>
      <c r="AD495" s="444">
        <v>40997</v>
      </c>
      <c r="AE495" s="444">
        <v>41048</v>
      </c>
      <c r="AF495" s="444" t="s">
        <v>1465</v>
      </c>
      <c r="AG495" s="419"/>
      <c r="AH495" s="419"/>
      <c r="AI495" s="419"/>
      <c r="AJ495" s="419"/>
      <c r="AK495" s="419"/>
      <c r="AL495" s="419"/>
      <c r="AM495" s="419"/>
      <c r="AN495" s="419"/>
      <c r="AO495" s="445"/>
      <c r="AP495" s="463"/>
      <c r="AQ495" s="466"/>
    </row>
    <row r="496" spans="1:43" s="464" customFormat="1" ht="39.75" customHeight="1">
      <c r="A496" s="491" t="s">
        <v>2801</v>
      </c>
      <c r="B496" s="467">
        <v>289</v>
      </c>
      <c r="C496" s="445" t="s">
        <v>2793</v>
      </c>
      <c r="D496" s="449" t="s">
        <v>707</v>
      </c>
      <c r="E496" s="445" t="s">
        <v>1043</v>
      </c>
      <c r="F496" s="419">
        <v>2</v>
      </c>
      <c r="G496" s="419"/>
      <c r="H496" s="448" t="s">
        <v>968</v>
      </c>
      <c r="I496" s="455" t="s">
        <v>719</v>
      </c>
      <c r="J496" s="445" t="s">
        <v>2795</v>
      </c>
      <c r="K496" s="455" t="s">
        <v>2796</v>
      </c>
      <c r="L496" s="423">
        <v>3.847</v>
      </c>
      <c r="M496" s="423">
        <v>0</v>
      </c>
      <c r="N496" s="444">
        <v>40581</v>
      </c>
      <c r="O496" s="425">
        <f>L496*1.896</f>
        <v>7.2939119999999997</v>
      </c>
      <c r="P496" s="868" t="s">
        <v>896</v>
      </c>
      <c r="Q496" s="1087">
        <v>4.07</v>
      </c>
      <c r="R496" s="423"/>
      <c r="S496" s="423"/>
      <c r="T496" s="733">
        <v>41390</v>
      </c>
      <c r="U496" s="444">
        <v>41152</v>
      </c>
      <c r="V496" s="425">
        <v>6.0181835616438351</v>
      </c>
      <c r="W496" s="400">
        <f t="shared" si="26"/>
        <v>0.67628379199658395</v>
      </c>
      <c r="X496" s="448" t="s">
        <v>896</v>
      </c>
      <c r="Y496" s="419" t="s">
        <v>2988</v>
      </c>
      <c r="Z496" s="445" t="s">
        <v>1290</v>
      </c>
      <c r="AA496" s="444">
        <v>40879</v>
      </c>
      <c r="AB496" s="444"/>
      <c r="AC496" s="444">
        <v>40851</v>
      </c>
      <c r="AD496" s="444">
        <v>40997</v>
      </c>
      <c r="AE496" s="444">
        <v>41047</v>
      </c>
      <c r="AF496" s="444" t="s">
        <v>1465</v>
      </c>
      <c r="AG496" s="419"/>
      <c r="AH496" s="419"/>
      <c r="AI496" s="419"/>
      <c r="AJ496" s="419"/>
      <c r="AK496" s="419"/>
      <c r="AL496" s="419"/>
      <c r="AM496" s="419"/>
      <c r="AN496" s="419"/>
      <c r="AO496" s="445"/>
      <c r="AP496" s="463"/>
      <c r="AQ496" s="466"/>
    </row>
    <row r="497" spans="1:43" s="464" customFormat="1" ht="40.5" customHeight="1">
      <c r="A497" s="491" t="s">
        <v>2802</v>
      </c>
      <c r="B497" s="467">
        <v>290</v>
      </c>
      <c r="C497" s="445" t="s">
        <v>2794</v>
      </c>
      <c r="D497" s="449" t="s">
        <v>707</v>
      </c>
      <c r="E497" s="445" t="s">
        <v>1043</v>
      </c>
      <c r="F497" s="419">
        <v>2</v>
      </c>
      <c r="G497" s="419"/>
      <c r="H497" s="448" t="s">
        <v>968</v>
      </c>
      <c r="I497" s="455" t="s">
        <v>719</v>
      </c>
      <c r="J497" s="449" t="s">
        <v>2795</v>
      </c>
      <c r="K497" s="455" t="s">
        <v>2796</v>
      </c>
      <c r="L497" s="423">
        <v>8.14</v>
      </c>
      <c r="M497" s="423">
        <v>0.9</v>
      </c>
      <c r="N497" s="444">
        <v>40581</v>
      </c>
      <c r="O497" s="425">
        <f>L497*0.896</f>
        <v>7.2934400000000004</v>
      </c>
      <c r="P497" s="513" t="s">
        <v>896</v>
      </c>
      <c r="Q497" s="1087">
        <v>9.6880000000000006</v>
      </c>
      <c r="R497" s="425"/>
      <c r="S497" s="425"/>
      <c r="T497" s="733">
        <v>41390</v>
      </c>
      <c r="U497" s="444">
        <v>41152</v>
      </c>
      <c r="V497" s="425">
        <v>10.315502345655846</v>
      </c>
      <c r="W497" s="400">
        <f t="shared" si="26"/>
        <v>0.93916899782199126</v>
      </c>
      <c r="X497" s="448" t="s">
        <v>896</v>
      </c>
      <c r="Y497" s="419" t="s">
        <v>2988</v>
      </c>
      <c r="Z497" s="445" t="s">
        <v>1290</v>
      </c>
      <c r="AA497" s="444">
        <v>40879</v>
      </c>
      <c r="AB497" s="444"/>
      <c r="AC497" s="444">
        <v>40941</v>
      </c>
      <c r="AD497" s="444">
        <v>40993</v>
      </c>
      <c r="AE497" s="444">
        <v>41039</v>
      </c>
      <c r="AF497" s="444" t="s">
        <v>1465</v>
      </c>
      <c r="AG497" s="419"/>
      <c r="AH497" s="419"/>
      <c r="AI497" s="419"/>
      <c r="AJ497" s="419"/>
      <c r="AK497" s="419"/>
      <c r="AL497" s="419"/>
      <c r="AM497" s="419"/>
      <c r="AN497" s="419"/>
      <c r="AO497" s="445" t="s">
        <v>2989</v>
      </c>
      <c r="AP497" s="463"/>
      <c r="AQ497" s="466"/>
    </row>
    <row r="498" spans="1:43" s="464" customFormat="1" ht="36.75" customHeight="1">
      <c r="A498" s="459" t="s">
        <v>1311</v>
      </c>
      <c r="B498" s="467" t="s">
        <v>2475</v>
      </c>
      <c r="C498" s="445" t="s">
        <v>2854</v>
      </c>
      <c r="D498" s="420" t="s">
        <v>707</v>
      </c>
      <c r="E498" s="419" t="s">
        <v>1312</v>
      </c>
      <c r="F498" s="419">
        <v>1</v>
      </c>
      <c r="G498" s="445" t="s">
        <v>2855</v>
      </c>
      <c r="H498" s="455" t="s">
        <v>968</v>
      </c>
      <c r="I498" s="471" t="s">
        <v>973</v>
      </c>
      <c r="J498" s="420"/>
      <c r="K498" s="448" t="s">
        <v>254</v>
      </c>
      <c r="L498" s="425">
        <v>92.798000000000002</v>
      </c>
      <c r="M498" s="423">
        <v>0</v>
      </c>
      <c r="N498" s="444">
        <v>39448</v>
      </c>
      <c r="O498" s="425">
        <f>5*L498</f>
        <v>463.99</v>
      </c>
      <c r="P498" s="419" t="s">
        <v>728</v>
      </c>
      <c r="Q498" s="1087">
        <f>197.093+77.515+61.852</f>
        <v>336.46</v>
      </c>
      <c r="R498" s="425"/>
      <c r="S498" s="425"/>
      <c r="T498" s="733">
        <v>40509</v>
      </c>
      <c r="U498" s="444">
        <v>40908</v>
      </c>
      <c r="V498" s="425">
        <v>371.19200000000001</v>
      </c>
      <c r="W498" s="400">
        <f t="shared" si="26"/>
        <v>0.90643117308562682</v>
      </c>
      <c r="X498" s="404" t="s">
        <v>728</v>
      </c>
      <c r="Y498" s="452" t="s">
        <v>2856</v>
      </c>
      <c r="Z498" s="419" t="s">
        <v>1616</v>
      </c>
      <c r="AA498" s="496">
        <v>40068</v>
      </c>
      <c r="AB498" s="444">
        <v>40893</v>
      </c>
      <c r="AC498" s="444">
        <v>40385</v>
      </c>
      <c r="AD498" s="444">
        <v>40416</v>
      </c>
      <c r="AE498" s="444">
        <v>40460</v>
      </c>
      <c r="AF498" s="444"/>
      <c r="AG498" s="423"/>
      <c r="AH498" s="423">
        <v>0</v>
      </c>
      <c r="AI498" s="425"/>
      <c r="AJ498" s="423">
        <f>1.5/Exch!B11</f>
        <v>1.7765077458106393</v>
      </c>
      <c r="AK498" s="423">
        <f>AJ498*1000/L498</f>
        <v>19.143815015524464</v>
      </c>
      <c r="AL498" s="423"/>
      <c r="AM498" s="423"/>
      <c r="AN498" s="423"/>
      <c r="AO498" s="419"/>
      <c r="AP498" s="791">
        <v>646</v>
      </c>
      <c r="AQ498" s="784" t="s">
        <v>2826</v>
      </c>
    </row>
    <row r="499" spans="1:43" s="464" customFormat="1" ht="37.5" customHeight="1">
      <c r="A499" s="491" t="s">
        <v>2259</v>
      </c>
      <c r="B499" s="467" t="s">
        <v>2475</v>
      </c>
      <c r="C499" s="445" t="s">
        <v>3628</v>
      </c>
      <c r="D499" s="420" t="s">
        <v>707</v>
      </c>
      <c r="E499" s="419" t="s">
        <v>1043</v>
      </c>
      <c r="F499" s="419">
        <v>1</v>
      </c>
      <c r="G499" s="445" t="s">
        <v>3846</v>
      </c>
      <c r="H499" s="448" t="s">
        <v>968</v>
      </c>
      <c r="I499" s="404" t="s">
        <v>1576</v>
      </c>
      <c r="J499" s="994" t="s">
        <v>1577</v>
      </c>
      <c r="K499" s="455" t="s">
        <v>2001</v>
      </c>
      <c r="L499" s="425">
        <f>O499/5</f>
        <v>82.188599999999994</v>
      </c>
      <c r="M499" s="423">
        <v>30</v>
      </c>
      <c r="N499" s="444">
        <v>39448</v>
      </c>
      <c r="O499" s="425">
        <v>410.94299999999998</v>
      </c>
      <c r="P499" s="513" t="s">
        <v>1731</v>
      </c>
      <c r="Q499" s="422"/>
      <c r="R499" s="419"/>
      <c r="S499" s="419"/>
      <c r="T499" s="733"/>
      <c r="U499" s="444"/>
      <c r="V499" s="425"/>
      <c r="W499" s="427"/>
      <c r="X499" s="448"/>
      <c r="Y499" s="428" t="s">
        <v>2698</v>
      </c>
      <c r="Z499" s="445" t="s">
        <v>1616</v>
      </c>
      <c r="AA499" s="444">
        <v>40596</v>
      </c>
      <c r="AB499" s="496">
        <v>41241</v>
      </c>
      <c r="AC499" s="444">
        <v>41213</v>
      </c>
      <c r="AD499" s="444">
        <v>40732</v>
      </c>
      <c r="AE499" s="444"/>
      <c r="AF499" s="444"/>
      <c r="AG499" s="423"/>
      <c r="AH499" s="423">
        <f>25-11</f>
        <v>14</v>
      </c>
      <c r="AI499" s="425">
        <f>(143916-61284)/AH499</f>
        <v>5902.2857142857147</v>
      </c>
      <c r="AJ499" s="736"/>
      <c r="AK499" s="423"/>
      <c r="AL499" s="423"/>
      <c r="AM499" s="423"/>
      <c r="AN499" s="423"/>
      <c r="AO499" s="419"/>
      <c r="AP499" s="463"/>
      <c r="AQ499" s="782"/>
    </row>
    <row r="500" spans="1:43" s="464" customFormat="1" ht="24.75" customHeight="1">
      <c r="A500" s="491" t="s">
        <v>2538</v>
      </c>
      <c r="B500" s="51" t="s">
        <v>2475</v>
      </c>
      <c r="C500" s="419" t="s">
        <v>2535</v>
      </c>
      <c r="D500" s="420" t="s">
        <v>707</v>
      </c>
      <c r="E500" s="445" t="s">
        <v>2421</v>
      </c>
      <c r="F500" s="419">
        <v>1</v>
      </c>
      <c r="G500" s="445" t="s">
        <v>3821</v>
      </c>
      <c r="H500" s="455" t="s">
        <v>968</v>
      </c>
      <c r="I500" s="729" t="s">
        <v>1735</v>
      </c>
      <c r="J500" s="420" t="s">
        <v>2545</v>
      </c>
      <c r="K500" s="455" t="s">
        <v>2001</v>
      </c>
      <c r="L500" s="423">
        <f>O500/2</f>
        <v>84.1</v>
      </c>
      <c r="M500" s="423">
        <v>0</v>
      </c>
      <c r="N500" s="444">
        <v>40179</v>
      </c>
      <c r="O500" s="425">
        <v>168.2</v>
      </c>
      <c r="P500" s="445" t="s">
        <v>728</v>
      </c>
      <c r="Q500" s="422"/>
      <c r="R500" s="425"/>
      <c r="S500" s="425"/>
      <c r="T500" s="733"/>
      <c r="U500" s="444"/>
      <c r="V500" s="425"/>
      <c r="W500" s="419"/>
      <c r="X500" s="448"/>
      <c r="Y500" s="391" t="s">
        <v>1569</v>
      </c>
      <c r="Z500" s="445" t="s">
        <v>2546</v>
      </c>
      <c r="AA500" s="444">
        <v>40730</v>
      </c>
      <c r="AB500" s="444">
        <v>41271</v>
      </c>
      <c r="AC500" s="444">
        <v>41178</v>
      </c>
      <c r="AD500" s="444">
        <v>41200</v>
      </c>
      <c r="AE500" s="444"/>
      <c r="AF500" s="444"/>
      <c r="AG500" s="419"/>
      <c r="AH500" s="423">
        <v>0</v>
      </c>
      <c r="AI500" s="419"/>
      <c r="AJ500" s="740"/>
      <c r="AK500" s="419"/>
      <c r="AL500" s="419"/>
      <c r="AM500" s="419"/>
      <c r="AN500" s="419"/>
      <c r="AO500" s="419"/>
      <c r="AP500" s="463"/>
      <c r="AQ500" s="466"/>
    </row>
    <row r="501" spans="1:43" s="464" customFormat="1" ht="25.5" customHeight="1">
      <c r="A501" s="491" t="s">
        <v>2539</v>
      </c>
      <c r="B501" s="51" t="s">
        <v>2475</v>
      </c>
      <c r="C501" s="419" t="s">
        <v>2536</v>
      </c>
      <c r="D501" s="420" t="s">
        <v>707</v>
      </c>
      <c r="E501" s="419" t="s">
        <v>2416</v>
      </c>
      <c r="F501" s="419">
        <v>1</v>
      </c>
      <c r="G501" s="445" t="s">
        <v>3820</v>
      </c>
      <c r="H501" s="455" t="s">
        <v>968</v>
      </c>
      <c r="I501" s="729" t="s">
        <v>1735</v>
      </c>
      <c r="J501" s="420" t="s">
        <v>2545</v>
      </c>
      <c r="K501" s="455" t="s">
        <v>2001</v>
      </c>
      <c r="L501" s="423">
        <f>O501/4</f>
        <v>44.283999999999999</v>
      </c>
      <c r="M501" s="423">
        <v>0</v>
      </c>
      <c r="N501" s="444">
        <v>39814</v>
      </c>
      <c r="O501" s="425">
        <v>177.136</v>
      </c>
      <c r="P501" s="445" t="s">
        <v>728</v>
      </c>
      <c r="Q501" s="422"/>
      <c r="R501" s="425"/>
      <c r="S501" s="425"/>
      <c r="T501" s="733"/>
      <c r="U501" s="444"/>
      <c r="V501" s="425"/>
      <c r="W501" s="419"/>
      <c r="X501" s="448"/>
      <c r="Y501" s="391" t="s">
        <v>1569</v>
      </c>
      <c r="Z501" s="445" t="s">
        <v>2546</v>
      </c>
      <c r="AA501" s="444">
        <v>40730</v>
      </c>
      <c r="AB501" s="444">
        <v>41271</v>
      </c>
      <c r="AC501" s="444">
        <v>41178</v>
      </c>
      <c r="AD501" s="444">
        <v>41200</v>
      </c>
      <c r="AE501" s="444"/>
      <c r="AF501" s="444"/>
      <c r="AG501" s="419"/>
      <c r="AH501" s="423">
        <v>0</v>
      </c>
      <c r="AI501" s="419"/>
      <c r="AJ501" s="896"/>
      <c r="AK501" s="423"/>
      <c r="AL501" s="419"/>
      <c r="AM501" s="419"/>
      <c r="AN501" s="419"/>
      <c r="AO501" s="419"/>
      <c r="AP501" s="463"/>
      <c r="AQ501" s="466"/>
    </row>
    <row r="502" spans="1:43" s="464" customFormat="1" ht="27" customHeight="1">
      <c r="A502" s="491" t="s">
        <v>2549</v>
      </c>
      <c r="B502" s="51" t="s">
        <v>2475</v>
      </c>
      <c r="C502" s="419" t="s">
        <v>2534</v>
      </c>
      <c r="D502" s="420" t="s">
        <v>707</v>
      </c>
      <c r="E502" s="445" t="s">
        <v>1043</v>
      </c>
      <c r="F502" s="419">
        <v>1</v>
      </c>
      <c r="G502" s="445" t="s">
        <v>3028</v>
      </c>
      <c r="H502" s="448" t="s">
        <v>968</v>
      </c>
      <c r="I502" s="455" t="s">
        <v>970</v>
      </c>
      <c r="J502" s="449" t="s">
        <v>970</v>
      </c>
      <c r="K502" s="455" t="s">
        <v>2543</v>
      </c>
      <c r="L502" s="423">
        <v>147.113</v>
      </c>
      <c r="M502" s="423">
        <v>0</v>
      </c>
      <c r="N502" s="444">
        <v>40634</v>
      </c>
      <c r="O502" s="425">
        <v>257.447</v>
      </c>
      <c r="P502" s="493" t="s">
        <v>728</v>
      </c>
      <c r="Q502" s="422"/>
      <c r="R502" s="425"/>
      <c r="S502" s="425"/>
      <c r="T502" s="733"/>
      <c r="U502" s="444"/>
      <c r="V502" s="425"/>
      <c r="W502" s="419"/>
      <c r="X502" s="448"/>
      <c r="Y502" s="445" t="s">
        <v>1615</v>
      </c>
      <c r="Z502" s="445" t="s">
        <v>1616</v>
      </c>
      <c r="AA502" s="444">
        <v>40744</v>
      </c>
      <c r="AB502" s="444">
        <v>41243</v>
      </c>
      <c r="AC502" s="444">
        <v>41166</v>
      </c>
      <c r="AD502" s="444">
        <v>40816</v>
      </c>
      <c r="AE502" s="444"/>
      <c r="AF502" s="444"/>
      <c r="AG502" s="419"/>
      <c r="AH502" s="419">
        <f>43*2.5</f>
        <v>107.5</v>
      </c>
      <c r="AI502" s="740"/>
      <c r="AJ502" s="740"/>
      <c r="AK502" s="419"/>
      <c r="AL502" s="419"/>
      <c r="AM502" s="419"/>
      <c r="AN502" s="419"/>
      <c r="AO502" s="419"/>
      <c r="AP502" s="463"/>
      <c r="AQ502" s="466"/>
    </row>
    <row r="503" spans="1:43" s="464" customFormat="1" ht="27" customHeight="1">
      <c r="A503" s="491" t="s">
        <v>2624</v>
      </c>
      <c r="B503" s="466" t="s">
        <v>2475</v>
      </c>
      <c r="C503" s="445" t="s">
        <v>2604</v>
      </c>
      <c r="D503" s="449" t="s">
        <v>707</v>
      </c>
      <c r="E503" s="445" t="s">
        <v>229</v>
      </c>
      <c r="F503" s="419">
        <v>1</v>
      </c>
      <c r="G503" s="445" t="s">
        <v>4043</v>
      </c>
      <c r="H503" s="448" t="s">
        <v>968</v>
      </c>
      <c r="I503" s="448" t="s">
        <v>1548</v>
      </c>
      <c r="J503" s="420" t="s">
        <v>2264</v>
      </c>
      <c r="K503" s="455" t="s">
        <v>2001</v>
      </c>
      <c r="L503" s="423">
        <f>O503/5</f>
        <v>100.17960000000001</v>
      </c>
      <c r="M503" s="423">
        <v>0</v>
      </c>
      <c r="N503" s="444">
        <v>39448</v>
      </c>
      <c r="O503" s="425">
        <v>500.89800000000002</v>
      </c>
      <c r="P503" s="445" t="s">
        <v>728</v>
      </c>
      <c r="Q503" s="422"/>
      <c r="R503" s="425"/>
      <c r="S503" s="425"/>
      <c r="T503" s="733"/>
      <c r="U503" s="444"/>
      <c r="V503" s="425"/>
      <c r="W503" s="419"/>
      <c r="X503" s="448"/>
      <c r="Y503" s="445" t="s">
        <v>661</v>
      </c>
      <c r="Z503" s="419" t="s">
        <v>4044</v>
      </c>
      <c r="AA503" s="444">
        <v>40808</v>
      </c>
      <c r="AB503" s="444">
        <v>41348</v>
      </c>
      <c r="AC503" s="444">
        <v>41262</v>
      </c>
      <c r="AD503" s="444">
        <v>40883</v>
      </c>
      <c r="AE503" s="444"/>
      <c r="AF503" s="444"/>
      <c r="AG503" s="419"/>
      <c r="AH503" s="419"/>
      <c r="AI503" s="419"/>
      <c r="AJ503" s="419"/>
      <c r="AK503" s="419"/>
      <c r="AL503" s="419"/>
      <c r="AM503" s="419"/>
      <c r="AN503" s="419"/>
      <c r="AO503" s="419"/>
      <c r="AP503" s="463"/>
      <c r="AQ503" s="51"/>
    </row>
    <row r="504" spans="1:43" s="464" customFormat="1" ht="40.5" customHeight="1">
      <c r="A504" s="491" t="s">
        <v>2626</v>
      </c>
      <c r="B504" s="467" t="s">
        <v>2475</v>
      </c>
      <c r="C504" s="445" t="s">
        <v>2637</v>
      </c>
      <c r="D504" s="449" t="s">
        <v>707</v>
      </c>
      <c r="E504" s="445" t="s">
        <v>20</v>
      </c>
      <c r="F504" s="419">
        <v>1</v>
      </c>
      <c r="G504" s="419"/>
      <c r="H504" s="448" t="s">
        <v>968</v>
      </c>
      <c r="I504" s="448" t="s">
        <v>1082</v>
      </c>
      <c r="J504" s="552" t="s">
        <v>687</v>
      </c>
      <c r="K504" s="533" t="s">
        <v>2001</v>
      </c>
      <c r="L504" s="423">
        <v>31.39</v>
      </c>
      <c r="M504" s="423">
        <v>5.5</v>
      </c>
      <c r="N504" s="444">
        <v>39448</v>
      </c>
      <c r="O504" s="425">
        <f>L504*5</f>
        <v>156.94999999999999</v>
      </c>
      <c r="P504" s="493" t="s">
        <v>1486</v>
      </c>
      <c r="Q504" s="422"/>
      <c r="R504" s="425"/>
      <c r="S504" s="425"/>
      <c r="T504" s="733"/>
      <c r="U504" s="444"/>
      <c r="V504" s="425"/>
      <c r="W504" s="419"/>
      <c r="X504" s="448"/>
      <c r="Y504" s="445" t="s">
        <v>2658</v>
      </c>
      <c r="Z504" s="419" t="s">
        <v>835</v>
      </c>
      <c r="AA504" s="444">
        <v>40809</v>
      </c>
      <c r="AB504" s="444"/>
      <c r="AC504" s="444">
        <v>40539</v>
      </c>
      <c r="AD504" s="444">
        <v>40294</v>
      </c>
      <c r="AE504" s="444"/>
      <c r="AF504" s="444"/>
      <c r="AG504" s="419"/>
      <c r="AH504" s="419"/>
      <c r="AI504" s="419"/>
      <c r="AJ504" s="419"/>
      <c r="AK504" s="419"/>
      <c r="AL504" s="419"/>
      <c r="AM504" s="419"/>
      <c r="AN504" s="419"/>
      <c r="AO504" s="419" t="s">
        <v>2657</v>
      </c>
      <c r="AP504" s="463"/>
      <c r="AQ504" s="782"/>
    </row>
    <row r="505" spans="1:43" s="464" customFormat="1" ht="27" customHeight="1">
      <c r="A505" s="491" t="s">
        <v>2736</v>
      </c>
      <c r="B505" s="467" t="s">
        <v>2475</v>
      </c>
      <c r="C505" s="445" t="s">
        <v>2728</v>
      </c>
      <c r="D505" s="449" t="s">
        <v>707</v>
      </c>
      <c r="E505" s="445" t="s">
        <v>1619</v>
      </c>
      <c r="F505" s="419">
        <v>1</v>
      </c>
      <c r="G505" s="445" t="s">
        <v>3682</v>
      </c>
      <c r="H505" s="448" t="s">
        <v>968</v>
      </c>
      <c r="I505" s="455" t="s">
        <v>970</v>
      </c>
      <c r="J505" s="420" t="s">
        <v>970</v>
      </c>
      <c r="K505" s="455" t="s">
        <v>680</v>
      </c>
      <c r="L505" s="423">
        <v>109.009</v>
      </c>
      <c r="M505" s="423">
        <v>0</v>
      </c>
      <c r="N505" s="444">
        <v>40878</v>
      </c>
      <c r="O505" s="425">
        <v>118.93</v>
      </c>
      <c r="P505" s="868" t="s">
        <v>728</v>
      </c>
      <c r="Q505" s="422"/>
      <c r="R505" s="425"/>
      <c r="S505" s="425"/>
      <c r="T505" s="733"/>
      <c r="U505" s="444"/>
      <c r="V505" s="425"/>
      <c r="W505" s="419"/>
      <c r="X505" s="448"/>
      <c r="Y505" s="419" t="s">
        <v>2698</v>
      </c>
      <c r="Z505" s="445" t="s">
        <v>1616</v>
      </c>
      <c r="AA505" s="444">
        <v>40865</v>
      </c>
      <c r="AB505" s="444">
        <v>41242</v>
      </c>
      <c r="AC505" s="444">
        <v>41229</v>
      </c>
      <c r="AD505" s="444">
        <v>41178</v>
      </c>
      <c r="AE505" s="444"/>
      <c r="AF505" s="444"/>
      <c r="AG505" s="419"/>
      <c r="AH505" s="419">
        <f>120*2.5</f>
        <v>300</v>
      </c>
      <c r="AI505" s="740"/>
      <c r="AJ505" s="740"/>
      <c r="AK505" s="419"/>
      <c r="AL505" s="419"/>
      <c r="AM505" s="419"/>
      <c r="AN505" s="419"/>
      <c r="AO505" s="445"/>
      <c r="AP505" s="463"/>
      <c r="AQ505" s="466"/>
    </row>
    <row r="506" spans="1:43" s="464" customFormat="1" ht="39.75" customHeight="1">
      <c r="A506" s="491" t="s">
        <v>2873</v>
      </c>
      <c r="B506" s="467" t="s">
        <v>2475</v>
      </c>
      <c r="C506" s="445" t="s">
        <v>2872</v>
      </c>
      <c r="D506" s="449" t="s">
        <v>707</v>
      </c>
      <c r="E506" s="445" t="s">
        <v>2079</v>
      </c>
      <c r="F506" s="419">
        <v>1</v>
      </c>
      <c r="G506" s="445" t="s">
        <v>3813</v>
      </c>
      <c r="H506" s="448" t="s">
        <v>968</v>
      </c>
      <c r="I506" s="448" t="s">
        <v>1488</v>
      </c>
      <c r="J506" s="420" t="s">
        <v>1709</v>
      </c>
      <c r="K506" s="455" t="s">
        <v>689</v>
      </c>
      <c r="L506" s="425">
        <v>83.337000000000003</v>
      </c>
      <c r="M506" s="423">
        <v>0</v>
      </c>
      <c r="N506" s="444">
        <v>40725</v>
      </c>
      <c r="O506" s="425">
        <v>125.006</v>
      </c>
      <c r="P506" s="868" t="s">
        <v>728</v>
      </c>
      <c r="Q506" s="422"/>
      <c r="R506" s="425"/>
      <c r="S506" s="425"/>
      <c r="T506" s="733"/>
      <c r="U506" s="444"/>
      <c r="V506" s="425"/>
      <c r="W506" s="419"/>
      <c r="X506" s="448"/>
      <c r="Y506" s="445" t="s">
        <v>2659</v>
      </c>
      <c r="Z506" s="445" t="s">
        <v>1091</v>
      </c>
      <c r="AA506" s="444">
        <v>40898</v>
      </c>
      <c r="AB506" s="444"/>
      <c r="AC506" s="444">
        <v>41250</v>
      </c>
      <c r="AD506" s="444">
        <v>40771</v>
      </c>
      <c r="AE506" s="444"/>
      <c r="AF506" s="444"/>
      <c r="AG506" s="419"/>
      <c r="AH506" s="423">
        <v>0.26</v>
      </c>
      <c r="AI506" s="740"/>
      <c r="AJ506" s="423">
        <f>5.0351/Exch!B11</f>
        <v>5.9632627672874339</v>
      </c>
      <c r="AK506" s="423">
        <f>AJ506*1000/L506</f>
        <v>71.556004743240507</v>
      </c>
      <c r="AL506" s="425"/>
      <c r="AM506" s="419"/>
      <c r="AN506" s="419"/>
      <c r="AO506" s="445"/>
      <c r="AP506" s="463"/>
      <c r="AQ506" s="466"/>
    </row>
    <row r="507" spans="1:43" s="464" customFormat="1" ht="27" customHeight="1">
      <c r="A507" s="491" t="s">
        <v>2910</v>
      </c>
      <c r="B507" s="530" t="s">
        <v>2475</v>
      </c>
      <c r="C507" s="445" t="s">
        <v>2903</v>
      </c>
      <c r="D507" s="449" t="s">
        <v>707</v>
      </c>
      <c r="E507" s="445" t="s">
        <v>1043</v>
      </c>
      <c r="F507" s="419">
        <v>1</v>
      </c>
      <c r="G507" s="445" t="s">
        <v>3809</v>
      </c>
      <c r="H507" s="448" t="s">
        <v>968</v>
      </c>
      <c r="I507" s="455" t="s">
        <v>911</v>
      </c>
      <c r="J507" s="725" t="s">
        <v>1577</v>
      </c>
      <c r="K507" s="533" t="s">
        <v>2001</v>
      </c>
      <c r="L507" s="425">
        <f>O507/5</f>
        <v>1370.4559999999999</v>
      </c>
      <c r="M507" s="423">
        <v>0</v>
      </c>
      <c r="N507" s="444">
        <v>39448</v>
      </c>
      <c r="O507" s="425">
        <v>6852.28</v>
      </c>
      <c r="P507" s="868" t="s">
        <v>728</v>
      </c>
      <c r="Q507" s="422"/>
      <c r="R507" s="425"/>
      <c r="S507" s="425"/>
      <c r="T507" s="733"/>
      <c r="U507" s="444"/>
      <c r="V507" s="425"/>
      <c r="W507" s="419"/>
      <c r="X507" s="448"/>
      <c r="Y507" s="445" t="s">
        <v>3932</v>
      </c>
      <c r="Z507" s="445" t="s">
        <v>202</v>
      </c>
      <c r="AA507" s="444">
        <v>40922</v>
      </c>
      <c r="AB507" s="444">
        <v>41270</v>
      </c>
      <c r="AC507" s="444"/>
      <c r="AD507" s="444">
        <v>41248</v>
      </c>
      <c r="AE507" s="444"/>
      <c r="AF507" s="444"/>
      <c r="AG507" s="419"/>
      <c r="AH507" s="419"/>
      <c r="AI507" s="419"/>
      <c r="AJ507" s="419">
        <v>500</v>
      </c>
      <c r="AK507" s="423">
        <f>AJ507*1000/L507</f>
        <v>364.8420671659652</v>
      </c>
      <c r="AL507" s="419"/>
      <c r="AM507" s="419"/>
      <c r="AN507" s="419"/>
      <c r="AO507" s="445"/>
      <c r="AP507" s="463"/>
      <c r="AQ507" s="466"/>
    </row>
    <row r="508" spans="1:43" s="50" customFormat="1" ht="25.5" customHeight="1">
      <c r="A508" s="491" t="s">
        <v>2969</v>
      </c>
      <c r="B508" s="468" t="s">
        <v>2475</v>
      </c>
      <c r="C508" s="445" t="s">
        <v>2976</v>
      </c>
      <c r="D508" s="449" t="s">
        <v>707</v>
      </c>
      <c r="E508" s="445" t="s">
        <v>1043</v>
      </c>
      <c r="F508" s="419">
        <v>1</v>
      </c>
      <c r="G508" s="445" t="s">
        <v>3800</v>
      </c>
      <c r="H508" s="448" t="s">
        <v>968</v>
      </c>
      <c r="I508" s="455" t="s">
        <v>1082</v>
      </c>
      <c r="J508" s="507" t="s">
        <v>3558</v>
      </c>
      <c r="K508" s="533" t="s">
        <v>2001</v>
      </c>
      <c r="L508" s="425">
        <f>O508/5</f>
        <v>42.501600000000003</v>
      </c>
      <c r="M508" s="423">
        <v>10</v>
      </c>
      <c r="N508" s="444">
        <v>39448</v>
      </c>
      <c r="O508" s="425">
        <v>212.50800000000001</v>
      </c>
      <c r="P508" s="513" t="s">
        <v>728</v>
      </c>
      <c r="Q508" s="422"/>
      <c r="R508" s="425"/>
      <c r="S508" s="425"/>
      <c r="T508" s="733"/>
      <c r="U508" s="444"/>
      <c r="V508" s="425"/>
      <c r="W508" s="419"/>
      <c r="X508" s="448"/>
      <c r="Y508" s="419" t="s">
        <v>2698</v>
      </c>
      <c r="Z508" s="445" t="s">
        <v>1616</v>
      </c>
      <c r="AA508" s="444">
        <v>40971</v>
      </c>
      <c r="AB508" s="444">
        <v>41270</v>
      </c>
      <c r="AC508" s="444">
        <v>41235</v>
      </c>
      <c r="AD508" s="444">
        <v>41173</v>
      </c>
      <c r="AE508" s="444"/>
      <c r="AF508" s="444"/>
      <c r="AG508" s="419"/>
      <c r="AH508" s="419">
        <v>0</v>
      </c>
      <c r="AI508" s="419"/>
      <c r="AJ508" s="740"/>
      <c r="AK508" s="419"/>
      <c r="AL508" s="419"/>
      <c r="AM508" s="419"/>
      <c r="AN508" s="419"/>
      <c r="AO508" s="445" t="s">
        <v>2983</v>
      </c>
      <c r="AP508" s="463"/>
      <c r="AQ508" s="466"/>
    </row>
    <row r="509" spans="1:43" s="464" customFormat="1" ht="25.5" customHeight="1">
      <c r="A509" s="491" t="s">
        <v>3017</v>
      </c>
      <c r="B509" s="468" t="s">
        <v>2475</v>
      </c>
      <c r="C509" s="445" t="s">
        <v>3050</v>
      </c>
      <c r="D509" s="449" t="s">
        <v>707</v>
      </c>
      <c r="E509" s="445" t="s">
        <v>229</v>
      </c>
      <c r="F509" s="419">
        <v>1</v>
      </c>
      <c r="G509" s="445" t="s">
        <v>3808</v>
      </c>
      <c r="H509" s="448" t="s">
        <v>968</v>
      </c>
      <c r="I509" s="455" t="s">
        <v>911</v>
      </c>
      <c r="J509" s="552" t="s">
        <v>611</v>
      </c>
      <c r="K509" s="533" t="s">
        <v>2001</v>
      </c>
      <c r="L509" s="425">
        <v>69.748000000000005</v>
      </c>
      <c r="M509" s="423">
        <v>0</v>
      </c>
      <c r="N509" s="431">
        <v>39753</v>
      </c>
      <c r="O509" s="425">
        <v>290.61700000000002</v>
      </c>
      <c r="P509" s="868" t="s">
        <v>728</v>
      </c>
      <c r="Q509" s="422"/>
      <c r="R509" s="425"/>
      <c r="S509" s="425"/>
      <c r="T509" s="733"/>
      <c r="U509" s="444"/>
      <c r="V509" s="425"/>
      <c r="W509" s="419"/>
      <c r="X509" s="448"/>
      <c r="Y509" s="419" t="s">
        <v>2698</v>
      </c>
      <c r="Z509" s="462" t="s">
        <v>1616</v>
      </c>
      <c r="AA509" s="444">
        <v>41023</v>
      </c>
      <c r="AB509" s="733">
        <v>41269</v>
      </c>
      <c r="AC509" s="881">
        <v>41232</v>
      </c>
      <c r="AD509" s="444">
        <v>41198</v>
      </c>
      <c r="AE509" s="444"/>
      <c r="AF509" s="444"/>
      <c r="AG509" s="419"/>
      <c r="AH509" s="419">
        <v>0</v>
      </c>
      <c r="AI509" s="419"/>
      <c r="AJ509" s="423">
        <f>6.330189/Exch!B11</f>
        <v>7.4970865272968705</v>
      </c>
      <c r="AK509" s="423">
        <f>AJ509*1000/L509</f>
        <v>107.48819360120534</v>
      </c>
      <c r="AL509" s="419"/>
      <c r="AM509" s="419"/>
      <c r="AN509" s="419"/>
      <c r="AO509" s="445"/>
      <c r="AP509" s="463"/>
      <c r="AQ509" s="466"/>
    </row>
    <row r="510" spans="1:43" s="464" customFormat="1" ht="39" customHeight="1">
      <c r="A510" s="491" t="s">
        <v>3678</v>
      </c>
      <c r="B510" s="468" t="s">
        <v>2475</v>
      </c>
      <c r="C510" s="445" t="s">
        <v>3689</v>
      </c>
      <c r="D510" s="420" t="s">
        <v>707</v>
      </c>
      <c r="E510" s="445" t="s">
        <v>1126</v>
      </c>
      <c r="F510" s="419">
        <v>1</v>
      </c>
      <c r="G510" s="419"/>
      <c r="H510" s="448" t="s">
        <v>968</v>
      </c>
      <c r="I510" s="455" t="s">
        <v>1467</v>
      </c>
      <c r="J510" s="449" t="s">
        <v>2584</v>
      </c>
      <c r="K510" s="455" t="s">
        <v>2001</v>
      </c>
      <c r="L510" s="425">
        <f>O510/5</f>
        <v>397.68359999999996</v>
      </c>
      <c r="M510" s="423">
        <v>0</v>
      </c>
      <c r="N510" s="431">
        <v>39448</v>
      </c>
      <c r="O510" s="425">
        <v>1988.4179999999999</v>
      </c>
      <c r="P510" s="868" t="s">
        <v>728</v>
      </c>
      <c r="Q510" s="422"/>
      <c r="R510" s="419"/>
      <c r="S510" s="419"/>
      <c r="T510" s="733"/>
      <c r="U510" s="444"/>
      <c r="V510" s="425"/>
      <c r="W510" s="427"/>
      <c r="X510" s="421"/>
      <c r="Y510" s="445" t="s">
        <v>2887</v>
      </c>
      <c r="Z510" s="462" t="s">
        <v>2889</v>
      </c>
      <c r="AA510" s="496">
        <v>41249</v>
      </c>
      <c r="AB510" s="550"/>
      <c r="AC510" s="881">
        <v>41213</v>
      </c>
      <c r="AD510" s="444">
        <v>40856</v>
      </c>
      <c r="AE510" s="444"/>
      <c r="AF510" s="444"/>
      <c r="AG510" s="423"/>
      <c r="AH510" s="423">
        <v>0</v>
      </c>
      <c r="AI510" s="425"/>
      <c r="AJ510" s="736"/>
      <c r="AK510" s="423"/>
      <c r="AL510" s="423"/>
      <c r="AM510" s="423"/>
      <c r="AN510" s="423"/>
      <c r="AO510" s="419"/>
      <c r="AP510" s="463"/>
      <c r="AQ510" s="782"/>
    </row>
    <row r="511" spans="1:43" s="464" customFormat="1" ht="18.75" customHeight="1">
      <c r="A511" s="491" t="s">
        <v>3864</v>
      </c>
      <c r="B511" s="468" t="s">
        <v>2475</v>
      </c>
      <c r="C511" s="445" t="s">
        <v>3765</v>
      </c>
      <c r="D511" s="420" t="s">
        <v>707</v>
      </c>
      <c r="E511" s="419" t="s">
        <v>1043</v>
      </c>
      <c r="F511" s="419">
        <v>1</v>
      </c>
      <c r="G511" s="419"/>
      <c r="H511" s="448" t="s">
        <v>968</v>
      </c>
      <c r="I511" s="448" t="s">
        <v>1548</v>
      </c>
      <c r="J511" s="420" t="s">
        <v>2264</v>
      </c>
      <c r="K511" s="455" t="s">
        <v>2001</v>
      </c>
      <c r="L511" s="425">
        <v>1686.402</v>
      </c>
      <c r="M511" s="423">
        <v>0</v>
      </c>
      <c r="N511" s="431">
        <v>39756</v>
      </c>
      <c r="O511" s="425">
        <v>7026.6750000000002</v>
      </c>
      <c r="P511" s="868" t="s">
        <v>728</v>
      </c>
      <c r="Q511" s="422"/>
      <c r="R511" s="419"/>
      <c r="S511" s="419"/>
      <c r="T511" s="733"/>
      <c r="U511" s="444"/>
      <c r="V511" s="425"/>
      <c r="W511" s="427"/>
      <c r="X511" s="421"/>
      <c r="Y511" s="419" t="s">
        <v>2896</v>
      </c>
      <c r="Z511" s="462" t="s">
        <v>2897</v>
      </c>
      <c r="AA511" s="496">
        <v>41264</v>
      </c>
      <c r="AB511" s="550"/>
      <c r="AC511" s="881">
        <v>41262</v>
      </c>
      <c r="AD511" s="444">
        <v>41247</v>
      </c>
      <c r="AE511" s="444"/>
      <c r="AF511" s="444"/>
      <c r="AG511" s="423"/>
      <c r="AH511" s="423">
        <v>0</v>
      </c>
      <c r="AI511" s="425"/>
      <c r="AJ511" s="736"/>
      <c r="AK511" s="423"/>
      <c r="AL511" s="423"/>
      <c r="AM511" s="423"/>
      <c r="AN511" s="423"/>
      <c r="AO511" s="419"/>
      <c r="AP511" s="463"/>
      <c r="AQ511" s="782"/>
    </row>
    <row r="512" spans="1:43" s="464" customFormat="1" ht="30.75" customHeight="1">
      <c r="A512" s="491" t="s">
        <v>3871</v>
      </c>
      <c r="B512" s="489" t="s">
        <v>2475</v>
      </c>
      <c r="C512" s="445" t="s">
        <v>3816</v>
      </c>
      <c r="D512" s="420" t="s">
        <v>707</v>
      </c>
      <c r="E512" s="419" t="s">
        <v>1998</v>
      </c>
      <c r="F512" s="419">
        <v>1</v>
      </c>
      <c r="G512" s="419"/>
      <c r="H512" s="448" t="s">
        <v>968</v>
      </c>
      <c r="I512" s="455" t="s">
        <v>1736</v>
      </c>
      <c r="J512" s="420" t="s">
        <v>1070</v>
      </c>
      <c r="K512" s="455" t="s">
        <v>2001</v>
      </c>
      <c r="L512" s="425">
        <f>O512/5</f>
        <v>119.0566</v>
      </c>
      <c r="M512" s="423">
        <v>0</v>
      </c>
      <c r="N512" s="431">
        <v>39448</v>
      </c>
      <c r="O512" s="425">
        <v>595.28300000000002</v>
      </c>
      <c r="P512" s="868" t="s">
        <v>728</v>
      </c>
      <c r="Q512" s="422"/>
      <c r="R512" s="419"/>
      <c r="S512" s="419"/>
      <c r="T512" s="733"/>
      <c r="U512" s="444"/>
      <c r="V512" s="425"/>
      <c r="W512" s="427"/>
      <c r="X512" s="421"/>
      <c r="Y512" s="419" t="s">
        <v>3817</v>
      </c>
      <c r="Z512" s="462" t="s">
        <v>3460</v>
      </c>
      <c r="AA512" s="496">
        <v>41266</v>
      </c>
      <c r="AB512" s="550"/>
      <c r="AC512" s="881">
        <v>41250</v>
      </c>
      <c r="AD512" s="444">
        <v>41232</v>
      </c>
      <c r="AE512" s="444"/>
      <c r="AF512" s="444"/>
      <c r="AG512" s="423"/>
      <c r="AH512" s="423">
        <v>0</v>
      </c>
      <c r="AI512" s="425"/>
      <c r="AJ512" s="423">
        <f>105.155/Exch!B11</f>
        <v>124.53911467381185</v>
      </c>
      <c r="AK512" s="423">
        <f>AJ512*1000/L512</f>
        <v>1046.0496492744783</v>
      </c>
      <c r="AL512" s="423"/>
      <c r="AM512" s="423"/>
      <c r="AN512" s="423"/>
      <c r="AO512" s="419" t="s">
        <v>3818</v>
      </c>
      <c r="AP512" s="463"/>
      <c r="AQ512" s="782"/>
    </row>
    <row r="513" spans="1:47" s="464" customFormat="1" ht="30" customHeight="1">
      <c r="A513" s="491" t="s">
        <v>3875</v>
      </c>
      <c r="B513" s="468" t="s">
        <v>2475</v>
      </c>
      <c r="C513" s="445" t="s">
        <v>3769</v>
      </c>
      <c r="D513" s="449" t="s">
        <v>707</v>
      </c>
      <c r="E513" s="419" t="s">
        <v>3770</v>
      </c>
      <c r="F513" s="419">
        <v>1</v>
      </c>
      <c r="G513" s="419"/>
      <c r="H513" s="448" t="s">
        <v>968</v>
      </c>
      <c r="I513" s="455" t="s">
        <v>1059</v>
      </c>
      <c r="J513" s="552" t="s">
        <v>2954</v>
      </c>
      <c r="K513" s="455" t="s">
        <v>2001</v>
      </c>
      <c r="L513" s="425">
        <f>O513/5</f>
        <v>101.80159999999999</v>
      </c>
      <c r="M513" s="423">
        <v>21</v>
      </c>
      <c r="N513" s="431">
        <v>39448</v>
      </c>
      <c r="O513" s="425">
        <v>509.00799999999998</v>
      </c>
      <c r="P513" s="868" t="s">
        <v>728</v>
      </c>
      <c r="Q513" s="422"/>
      <c r="R513" s="419"/>
      <c r="S513" s="419"/>
      <c r="T513" s="733"/>
      <c r="U513" s="444"/>
      <c r="V513" s="425"/>
      <c r="W513" s="427"/>
      <c r="X513" s="421"/>
      <c r="Y513" s="507" t="s">
        <v>3523</v>
      </c>
      <c r="Z513" s="934" t="s">
        <v>3526</v>
      </c>
      <c r="AA513" s="496">
        <v>41268</v>
      </c>
      <c r="AB513" s="550"/>
      <c r="AC513" s="881">
        <v>41236</v>
      </c>
      <c r="AD513" s="444">
        <v>41204</v>
      </c>
      <c r="AE513" s="444"/>
      <c r="AF513" s="444"/>
      <c r="AG513" s="423"/>
      <c r="AH513" s="423">
        <v>0</v>
      </c>
      <c r="AI513" s="425"/>
      <c r="AJ513" s="736"/>
      <c r="AK513" s="423"/>
      <c r="AL513" s="423"/>
      <c r="AM513" s="423"/>
      <c r="AN513" s="423"/>
      <c r="AO513" s="419"/>
      <c r="AP513" s="463"/>
      <c r="AQ513" s="782"/>
    </row>
    <row r="514" spans="1:47" s="464" customFormat="1" ht="33" customHeight="1">
      <c r="A514" s="491" t="s">
        <v>3880</v>
      </c>
      <c r="B514" s="468" t="s">
        <v>2475</v>
      </c>
      <c r="C514" s="445" t="s">
        <v>3778</v>
      </c>
      <c r="D514" s="449" t="s">
        <v>707</v>
      </c>
      <c r="E514" s="419" t="s">
        <v>1043</v>
      </c>
      <c r="F514" s="419">
        <v>1</v>
      </c>
      <c r="G514" s="419"/>
      <c r="H514" s="448" t="s">
        <v>968</v>
      </c>
      <c r="I514" s="448" t="s">
        <v>1548</v>
      </c>
      <c r="J514" s="420" t="s">
        <v>2264</v>
      </c>
      <c r="K514" s="455" t="s">
        <v>2001</v>
      </c>
      <c r="L514" s="425">
        <v>262.18700000000001</v>
      </c>
      <c r="M514" s="423">
        <v>0</v>
      </c>
      <c r="N514" s="431">
        <v>39600</v>
      </c>
      <c r="O514" s="425">
        <v>1179.846</v>
      </c>
      <c r="P514" s="868" t="s">
        <v>728</v>
      </c>
      <c r="Q514" s="422"/>
      <c r="R514" s="419"/>
      <c r="S514" s="419"/>
      <c r="T514" s="733"/>
      <c r="U514" s="444"/>
      <c r="V514" s="425"/>
      <c r="W514" s="427"/>
      <c r="X514" s="421"/>
      <c r="Y514" s="507" t="s">
        <v>3523</v>
      </c>
      <c r="Z514" s="934" t="s">
        <v>3774</v>
      </c>
      <c r="AA514" s="496">
        <v>41268</v>
      </c>
      <c r="AB514" s="550"/>
      <c r="AC514" s="881">
        <v>41262</v>
      </c>
      <c r="AD514" s="444">
        <v>41248</v>
      </c>
      <c r="AE514" s="444"/>
      <c r="AF514" s="444"/>
      <c r="AG514" s="423"/>
      <c r="AH514" s="423">
        <v>0</v>
      </c>
      <c r="AI514" s="425"/>
      <c r="AJ514" s="736"/>
      <c r="AK514" s="423"/>
      <c r="AL514" s="423"/>
      <c r="AM514" s="423"/>
      <c r="AN514" s="423"/>
      <c r="AO514" s="419"/>
      <c r="AP514" s="463"/>
      <c r="AQ514" s="782"/>
    </row>
    <row r="515" spans="1:47" s="464" customFormat="1" ht="18.75" customHeight="1">
      <c r="A515" s="491" t="s">
        <v>3881</v>
      </c>
      <c r="B515" s="468" t="s">
        <v>2475</v>
      </c>
      <c r="C515" s="445" t="s">
        <v>3779</v>
      </c>
      <c r="D515" s="449" t="s">
        <v>707</v>
      </c>
      <c r="E515" s="419" t="s">
        <v>1043</v>
      </c>
      <c r="F515" s="419">
        <v>1</v>
      </c>
      <c r="G515" s="419"/>
      <c r="H515" s="448" t="s">
        <v>968</v>
      </c>
      <c r="I515" s="471" t="s">
        <v>1548</v>
      </c>
      <c r="J515" s="420" t="s">
        <v>235</v>
      </c>
      <c r="K515" s="455" t="s">
        <v>882</v>
      </c>
      <c r="L515" s="425">
        <f>O515/5</f>
        <v>531.36500000000001</v>
      </c>
      <c r="M515" s="423">
        <v>0</v>
      </c>
      <c r="N515" s="431">
        <v>39448</v>
      </c>
      <c r="O515" s="425">
        <v>2656.8249999999998</v>
      </c>
      <c r="P515" s="868" t="s">
        <v>728</v>
      </c>
      <c r="Q515" s="422"/>
      <c r="R515" s="419"/>
      <c r="S515" s="419"/>
      <c r="T515" s="733"/>
      <c r="U515" s="444"/>
      <c r="V515" s="425"/>
      <c r="W515" s="427"/>
      <c r="X515" s="421"/>
      <c r="Y515" s="445" t="s">
        <v>2674</v>
      </c>
      <c r="Z515" s="934" t="s">
        <v>3383</v>
      </c>
      <c r="AA515" s="496">
        <v>41268</v>
      </c>
      <c r="AB515" s="550"/>
      <c r="AC515" s="881">
        <v>41262</v>
      </c>
      <c r="AD515" s="444">
        <v>41228</v>
      </c>
      <c r="AE515" s="444"/>
      <c r="AF515" s="444"/>
      <c r="AG515" s="423"/>
      <c r="AH515" s="423">
        <v>0</v>
      </c>
      <c r="AI515" s="425"/>
      <c r="AJ515" s="736"/>
      <c r="AK515" s="423"/>
      <c r="AL515" s="423"/>
      <c r="AM515" s="423"/>
      <c r="AN515" s="423"/>
      <c r="AO515" s="419"/>
      <c r="AP515" s="463"/>
      <c r="AQ515" s="782"/>
    </row>
    <row r="516" spans="1:47" s="464" customFormat="1" ht="12.75" customHeight="1">
      <c r="A516" s="491" t="s">
        <v>3883</v>
      </c>
      <c r="B516" s="489" t="s">
        <v>2475</v>
      </c>
      <c r="C516" s="445" t="s">
        <v>3794</v>
      </c>
      <c r="D516" s="420" t="s">
        <v>707</v>
      </c>
      <c r="E516" s="445" t="s">
        <v>1559</v>
      </c>
      <c r="F516" s="419">
        <v>1</v>
      </c>
      <c r="G516" s="419"/>
      <c r="H516" s="448" t="s">
        <v>968</v>
      </c>
      <c r="I516" s="455" t="s">
        <v>1735</v>
      </c>
      <c r="J516" s="449" t="s">
        <v>1888</v>
      </c>
      <c r="K516" s="455" t="s">
        <v>3796</v>
      </c>
      <c r="L516" s="425">
        <f>O516/5</f>
        <v>46.068400000000004</v>
      </c>
      <c r="M516" s="423">
        <v>0</v>
      </c>
      <c r="N516" s="431">
        <v>39448</v>
      </c>
      <c r="O516" s="425">
        <v>230.34200000000001</v>
      </c>
      <c r="P516" s="868" t="s">
        <v>728</v>
      </c>
      <c r="Q516" s="422"/>
      <c r="R516" s="419"/>
      <c r="S516" s="419"/>
      <c r="T516" s="733"/>
      <c r="U516" s="444"/>
      <c r="V516" s="425"/>
      <c r="W516" s="427"/>
      <c r="X516" s="421"/>
      <c r="Y516" s="445" t="s">
        <v>2674</v>
      </c>
      <c r="Z516" s="934" t="s">
        <v>3795</v>
      </c>
      <c r="AA516" s="496">
        <v>41268</v>
      </c>
      <c r="AB516" s="550"/>
      <c r="AC516" s="881">
        <v>41255</v>
      </c>
      <c r="AD516" s="444">
        <v>41068</v>
      </c>
      <c r="AE516" s="444"/>
      <c r="AF516" s="444"/>
      <c r="AG516" s="423"/>
      <c r="AH516" s="423">
        <v>25</v>
      </c>
      <c r="AI516" s="425">
        <f>100000/AH516</f>
        <v>4000</v>
      </c>
      <c r="AJ516" s="736"/>
      <c r="AK516" s="423"/>
      <c r="AL516" s="423"/>
      <c r="AM516" s="423"/>
      <c r="AN516" s="423"/>
      <c r="AO516" s="419"/>
      <c r="AP516" s="463"/>
      <c r="AQ516" s="782"/>
    </row>
    <row r="517" spans="1:47" s="464" customFormat="1" ht="26.25" customHeight="1">
      <c r="A517" s="491" t="s">
        <v>3884</v>
      </c>
      <c r="B517" s="468" t="s">
        <v>2475</v>
      </c>
      <c r="C517" s="445" t="s">
        <v>3757</v>
      </c>
      <c r="D517" s="420" t="s">
        <v>707</v>
      </c>
      <c r="E517" s="445" t="s">
        <v>229</v>
      </c>
      <c r="F517" s="419">
        <v>1</v>
      </c>
      <c r="G517" s="419"/>
      <c r="H517" s="448" t="s">
        <v>968</v>
      </c>
      <c r="I517" s="448" t="s">
        <v>1548</v>
      </c>
      <c r="J517" s="419" t="s">
        <v>2264</v>
      </c>
      <c r="K517" s="455" t="s">
        <v>2001</v>
      </c>
      <c r="L517" s="425">
        <v>1716.269</v>
      </c>
      <c r="M517" s="423">
        <v>0</v>
      </c>
      <c r="N517" s="431">
        <v>39512</v>
      </c>
      <c r="O517" s="425">
        <v>8295.3019999999997</v>
      </c>
      <c r="P517" s="868" t="s">
        <v>728</v>
      </c>
      <c r="Q517" s="422"/>
      <c r="R517" s="419"/>
      <c r="S517" s="419"/>
      <c r="T517" s="733"/>
      <c r="U517" s="444"/>
      <c r="V517" s="425"/>
      <c r="W517" s="427"/>
      <c r="X517" s="421"/>
      <c r="Y517" s="419" t="s">
        <v>2896</v>
      </c>
      <c r="Z517" s="445" t="s">
        <v>2897</v>
      </c>
      <c r="AA517" s="496">
        <v>41269</v>
      </c>
      <c r="AB517" s="550"/>
      <c r="AC517" s="881">
        <v>41262</v>
      </c>
      <c r="AD517" s="444">
        <v>41253</v>
      </c>
      <c r="AE517" s="444"/>
      <c r="AF517" s="444"/>
      <c r="AG517" s="423"/>
      <c r="AH517" s="423">
        <v>0</v>
      </c>
      <c r="AI517" s="425"/>
      <c r="AJ517" s="736"/>
      <c r="AK517" s="423"/>
      <c r="AL517" s="423"/>
      <c r="AM517" s="423"/>
      <c r="AN517" s="423"/>
      <c r="AO517" s="419"/>
      <c r="AP517" s="463"/>
      <c r="AQ517" s="782"/>
    </row>
    <row r="518" spans="1:47" s="464" customFormat="1" ht="12.75" customHeight="1">
      <c r="A518" s="491" t="s">
        <v>3885</v>
      </c>
      <c r="B518" s="468" t="s">
        <v>2475</v>
      </c>
      <c r="C518" s="445" t="s">
        <v>3758</v>
      </c>
      <c r="D518" s="420" t="s">
        <v>707</v>
      </c>
      <c r="E518" s="445" t="s">
        <v>229</v>
      </c>
      <c r="F518" s="419">
        <v>1</v>
      </c>
      <c r="G518" s="419"/>
      <c r="H518" s="448" t="s">
        <v>968</v>
      </c>
      <c r="I518" s="448" t="s">
        <v>1548</v>
      </c>
      <c r="J518" s="420" t="s">
        <v>2264</v>
      </c>
      <c r="K518" s="455" t="s">
        <v>2001</v>
      </c>
      <c r="L518" s="425">
        <v>1770.153</v>
      </c>
      <c r="M518" s="423">
        <v>0</v>
      </c>
      <c r="N518" s="431">
        <v>39512</v>
      </c>
      <c r="O518" s="425">
        <v>8555.7379999999994</v>
      </c>
      <c r="P518" s="868" t="s">
        <v>728</v>
      </c>
      <c r="Q518" s="422"/>
      <c r="R518" s="419"/>
      <c r="S518" s="419"/>
      <c r="T518" s="733"/>
      <c r="U518" s="444"/>
      <c r="V518" s="425"/>
      <c r="W518" s="427"/>
      <c r="X518" s="421"/>
      <c r="Y518" s="419" t="s">
        <v>2896</v>
      </c>
      <c r="Z518" s="462" t="s">
        <v>2897</v>
      </c>
      <c r="AA518" s="496">
        <v>41269</v>
      </c>
      <c r="AB518" s="550"/>
      <c r="AC518" s="881">
        <v>41262</v>
      </c>
      <c r="AD518" s="444">
        <v>41253</v>
      </c>
      <c r="AE518" s="444"/>
      <c r="AF518" s="444"/>
      <c r="AG518" s="423"/>
      <c r="AH518" s="423">
        <v>0</v>
      </c>
      <c r="AI518" s="425"/>
      <c r="AJ518" s="736"/>
      <c r="AK518" s="423"/>
      <c r="AL518" s="423"/>
      <c r="AM518" s="423"/>
      <c r="AN518" s="423"/>
      <c r="AO518" s="419"/>
      <c r="AP518" s="463"/>
      <c r="AQ518" s="782"/>
    </row>
    <row r="519" spans="1:47" s="464" customFormat="1" ht="40.5" customHeight="1">
      <c r="A519" s="491" t="s">
        <v>3886</v>
      </c>
      <c r="B519" s="467" t="s">
        <v>2475</v>
      </c>
      <c r="C519" s="445" t="s">
        <v>3766</v>
      </c>
      <c r="D519" s="420" t="s">
        <v>707</v>
      </c>
      <c r="E519" s="419" t="s">
        <v>1043</v>
      </c>
      <c r="F519" s="419">
        <v>1</v>
      </c>
      <c r="G519" s="419"/>
      <c r="H519" s="448" t="s">
        <v>968</v>
      </c>
      <c r="I519" s="448" t="s">
        <v>1548</v>
      </c>
      <c r="J519" s="420" t="s">
        <v>2264</v>
      </c>
      <c r="K519" s="455" t="s">
        <v>2001</v>
      </c>
      <c r="L519" s="425">
        <v>1151.2529999999999</v>
      </c>
      <c r="M519" s="423">
        <v>0</v>
      </c>
      <c r="N519" s="431">
        <v>39496</v>
      </c>
      <c r="O519" s="425">
        <v>5564.3909999999996</v>
      </c>
      <c r="P519" s="868" t="s">
        <v>728</v>
      </c>
      <c r="Q519" s="422"/>
      <c r="R519" s="419"/>
      <c r="S519" s="419"/>
      <c r="T519" s="733"/>
      <c r="U519" s="444"/>
      <c r="V519" s="425"/>
      <c r="W519" s="427"/>
      <c r="X519" s="421"/>
      <c r="Y519" s="419" t="s">
        <v>2896</v>
      </c>
      <c r="Z519" s="462" t="s">
        <v>2897</v>
      </c>
      <c r="AA519" s="496">
        <v>41269</v>
      </c>
      <c r="AB519" s="550"/>
      <c r="AC519" s="881">
        <v>41262</v>
      </c>
      <c r="AD519" s="444">
        <v>41253</v>
      </c>
      <c r="AE519" s="444"/>
      <c r="AF519" s="444"/>
      <c r="AG519" s="423"/>
      <c r="AH519" s="423">
        <v>0</v>
      </c>
      <c r="AI519" s="425"/>
      <c r="AJ519" s="736"/>
      <c r="AK519" s="423"/>
      <c r="AL519" s="423"/>
      <c r="AM519" s="423"/>
      <c r="AN519" s="423"/>
      <c r="AO519" s="419"/>
      <c r="AP519" s="463"/>
      <c r="AQ519" s="782"/>
    </row>
    <row r="520" spans="1:47" s="474" customFormat="1" ht="25.5" customHeight="1">
      <c r="A520" s="467" t="s">
        <v>3887</v>
      </c>
      <c r="B520" s="467" t="s">
        <v>2475</v>
      </c>
      <c r="C520" s="445" t="s">
        <v>3767</v>
      </c>
      <c r="D520" s="420" t="s">
        <v>707</v>
      </c>
      <c r="E520" s="419" t="s">
        <v>1043</v>
      </c>
      <c r="F520" s="420">
        <v>1</v>
      </c>
      <c r="G520" s="419"/>
      <c r="H520" s="421" t="s">
        <v>968</v>
      </c>
      <c r="I520" s="448" t="s">
        <v>1548</v>
      </c>
      <c r="J520" s="419" t="s">
        <v>2264</v>
      </c>
      <c r="K520" s="455" t="s">
        <v>2001</v>
      </c>
      <c r="L520" s="422">
        <v>1054.7270000000001</v>
      </c>
      <c r="M520" s="423">
        <v>0</v>
      </c>
      <c r="N520" s="444">
        <v>39496</v>
      </c>
      <c r="O520" s="424">
        <v>5097.848</v>
      </c>
      <c r="P520" s="513" t="s">
        <v>728</v>
      </c>
      <c r="Q520" s="422"/>
      <c r="R520" s="419"/>
      <c r="S520" s="419"/>
      <c r="T520" s="881"/>
      <c r="U520" s="444"/>
      <c r="V520" s="425"/>
      <c r="W520" s="427"/>
      <c r="X520" s="543"/>
      <c r="Y520" s="419" t="s">
        <v>2896</v>
      </c>
      <c r="Z520" s="445" t="s">
        <v>2897</v>
      </c>
      <c r="AA520" s="430">
        <v>41269</v>
      </c>
      <c r="AB520" s="496"/>
      <c r="AC520" s="431">
        <v>41262</v>
      </c>
      <c r="AD520" s="431">
        <v>41253</v>
      </c>
      <c r="AE520" s="431"/>
      <c r="AF520" s="431"/>
      <c r="AG520" s="432"/>
      <c r="AH520" s="432">
        <v>0</v>
      </c>
      <c r="AI520" s="422"/>
      <c r="AJ520" s="827"/>
      <c r="AK520" s="423"/>
      <c r="AL520" s="432"/>
      <c r="AM520" s="432"/>
      <c r="AN520" s="432"/>
      <c r="AO520" s="419"/>
      <c r="AP520" s="463"/>
      <c r="AQ520" s="782"/>
      <c r="AR520" s="63"/>
      <c r="AS520" s="63"/>
      <c r="AT520" s="63"/>
      <c r="AU520" s="63"/>
    </row>
    <row r="521" spans="1:47" s="464" customFormat="1" ht="27" customHeight="1">
      <c r="A521" s="491" t="s">
        <v>3889</v>
      </c>
      <c r="B521" s="489" t="s">
        <v>2475</v>
      </c>
      <c r="C521" s="445" t="s">
        <v>3803</v>
      </c>
      <c r="D521" s="420" t="s">
        <v>707</v>
      </c>
      <c r="E521" s="445" t="s">
        <v>3804</v>
      </c>
      <c r="F521" s="419">
        <v>1</v>
      </c>
      <c r="G521" s="419"/>
      <c r="H521" s="448" t="s">
        <v>968</v>
      </c>
      <c r="I521" s="455" t="s">
        <v>1736</v>
      </c>
      <c r="J521" s="449" t="s">
        <v>1069</v>
      </c>
      <c r="K521" s="455" t="s">
        <v>2001</v>
      </c>
      <c r="L521" s="425">
        <f>O521/5</f>
        <v>212.0872</v>
      </c>
      <c r="M521" s="423">
        <v>0</v>
      </c>
      <c r="N521" s="431">
        <v>39448</v>
      </c>
      <c r="O521" s="425">
        <v>1060.4359999999999</v>
      </c>
      <c r="P521" s="868" t="s">
        <v>728</v>
      </c>
      <c r="Q521" s="422"/>
      <c r="R521" s="419"/>
      <c r="S521" s="419"/>
      <c r="T521" s="733"/>
      <c r="U521" s="444"/>
      <c r="V521" s="425"/>
      <c r="W521" s="427"/>
      <c r="X521" s="421"/>
      <c r="Y521" s="445" t="s">
        <v>3691</v>
      </c>
      <c r="Z521" s="462" t="s">
        <v>3806</v>
      </c>
      <c r="AA521" s="496">
        <v>41269</v>
      </c>
      <c r="AB521" s="550"/>
      <c r="AC521" s="881">
        <v>41262</v>
      </c>
      <c r="AD521" s="444">
        <v>41227</v>
      </c>
      <c r="AE521" s="444"/>
      <c r="AF521" s="444"/>
      <c r="AG521" s="423"/>
      <c r="AH521" s="423">
        <v>0</v>
      </c>
      <c r="AI521" s="425"/>
      <c r="AJ521" s="736"/>
      <c r="AK521" s="423"/>
      <c r="AL521" s="423"/>
      <c r="AM521" s="423"/>
      <c r="AN521" s="423"/>
      <c r="AO521" s="445" t="s">
        <v>3805</v>
      </c>
      <c r="AP521" s="463"/>
      <c r="AQ521" s="782"/>
    </row>
    <row r="522" spans="1:47" s="464" customFormat="1" ht="12.75" customHeight="1">
      <c r="A522" s="467" t="s">
        <v>3896</v>
      </c>
      <c r="B522" s="468" t="s">
        <v>2475</v>
      </c>
      <c r="C522" s="445" t="s">
        <v>3751</v>
      </c>
      <c r="D522" s="420" t="s">
        <v>707</v>
      </c>
      <c r="E522" s="419" t="s">
        <v>1043</v>
      </c>
      <c r="F522" s="419">
        <v>1</v>
      </c>
      <c r="G522" s="419"/>
      <c r="H522" s="448" t="s">
        <v>968</v>
      </c>
      <c r="I522" s="448" t="s">
        <v>1548</v>
      </c>
      <c r="J522" s="420" t="s">
        <v>2264</v>
      </c>
      <c r="K522" s="455" t="s">
        <v>2001</v>
      </c>
      <c r="L522" s="425">
        <v>639.899</v>
      </c>
      <c r="M522" s="423">
        <v>0</v>
      </c>
      <c r="N522" s="431">
        <v>39573</v>
      </c>
      <c r="O522" s="425">
        <v>2986.194</v>
      </c>
      <c r="P522" s="868" t="s">
        <v>728</v>
      </c>
      <c r="Q522" s="422"/>
      <c r="R522" s="419"/>
      <c r="S522" s="419"/>
      <c r="T522" s="733"/>
      <c r="U522" s="444"/>
      <c r="V522" s="425"/>
      <c r="W522" s="427"/>
      <c r="X522" s="421"/>
      <c r="Y522" s="419" t="s">
        <v>2896</v>
      </c>
      <c r="Z522" s="462" t="s">
        <v>2897</v>
      </c>
      <c r="AA522" s="496">
        <v>41270</v>
      </c>
      <c r="AB522" s="550"/>
      <c r="AC522" s="881">
        <v>41262</v>
      </c>
      <c r="AD522" s="444">
        <v>41246</v>
      </c>
      <c r="AE522" s="444"/>
      <c r="AF522" s="444"/>
      <c r="AG522" s="423"/>
      <c r="AH522" s="423">
        <v>0</v>
      </c>
      <c r="AI522" s="425"/>
      <c r="AJ522" s="736"/>
      <c r="AK522" s="423"/>
      <c r="AL522" s="423"/>
      <c r="AM522" s="423"/>
      <c r="AN522" s="423"/>
      <c r="AO522" s="419"/>
      <c r="AP522" s="463"/>
      <c r="AQ522" s="782"/>
    </row>
    <row r="523" spans="1:47" s="464" customFormat="1" ht="12.75" customHeight="1">
      <c r="A523" s="491" t="s">
        <v>3897</v>
      </c>
      <c r="B523" s="468" t="s">
        <v>2475</v>
      </c>
      <c r="C523" s="445" t="s">
        <v>3752</v>
      </c>
      <c r="D523" s="420" t="s">
        <v>707</v>
      </c>
      <c r="E523" s="419" t="s">
        <v>1043</v>
      </c>
      <c r="F523" s="419">
        <v>1</v>
      </c>
      <c r="G523" s="419"/>
      <c r="H523" s="448" t="s">
        <v>968</v>
      </c>
      <c r="I523" s="448" t="s">
        <v>1548</v>
      </c>
      <c r="J523" s="420" t="s">
        <v>2264</v>
      </c>
      <c r="K523" s="455" t="s">
        <v>2001</v>
      </c>
      <c r="L523" s="425">
        <v>661.16499999999996</v>
      </c>
      <c r="M523" s="423">
        <v>0</v>
      </c>
      <c r="N523" s="431">
        <v>39573</v>
      </c>
      <c r="O523" s="425">
        <v>3085.4360000000001</v>
      </c>
      <c r="P523" s="868" t="s">
        <v>728</v>
      </c>
      <c r="Q523" s="422"/>
      <c r="R523" s="419"/>
      <c r="S523" s="419"/>
      <c r="T523" s="733"/>
      <c r="U523" s="444"/>
      <c r="V523" s="425"/>
      <c r="W523" s="427"/>
      <c r="X523" s="421"/>
      <c r="Y523" s="419" t="s">
        <v>2896</v>
      </c>
      <c r="Z523" s="462" t="s">
        <v>2897</v>
      </c>
      <c r="AA523" s="496">
        <v>41270</v>
      </c>
      <c r="AB523" s="550"/>
      <c r="AC523" s="881">
        <v>41262</v>
      </c>
      <c r="AD523" s="444">
        <v>41250</v>
      </c>
      <c r="AE523" s="444"/>
      <c r="AF523" s="444"/>
      <c r="AG523" s="423"/>
      <c r="AH523" s="423">
        <v>0</v>
      </c>
      <c r="AI523" s="425"/>
      <c r="AJ523" s="736"/>
      <c r="AK523" s="423"/>
      <c r="AL523" s="423"/>
      <c r="AM523" s="423"/>
      <c r="AN523" s="423"/>
      <c r="AO523" s="419"/>
      <c r="AP523" s="463"/>
      <c r="AQ523" s="782"/>
    </row>
    <row r="524" spans="1:47" s="464" customFormat="1" ht="12.75" customHeight="1">
      <c r="A524" s="467" t="s">
        <v>3898</v>
      </c>
      <c r="B524" s="468" t="s">
        <v>2475</v>
      </c>
      <c r="C524" s="445" t="s">
        <v>3753</v>
      </c>
      <c r="D524" s="420" t="s">
        <v>707</v>
      </c>
      <c r="E524" s="419" t="s">
        <v>1043</v>
      </c>
      <c r="F524" s="419">
        <v>1</v>
      </c>
      <c r="G524" s="419"/>
      <c r="H524" s="448" t="s">
        <v>968</v>
      </c>
      <c r="I524" s="448" t="s">
        <v>1548</v>
      </c>
      <c r="J524" s="419" t="s">
        <v>2264</v>
      </c>
      <c r="K524" s="455" t="s">
        <v>2001</v>
      </c>
      <c r="L524" s="425">
        <v>320.76100000000002</v>
      </c>
      <c r="M524" s="423">
        <v>0</v>
      </c>
      <c r="N524" s="431">
        <v>39573</v>
      </c>
      <c r="O524" s="425">
        <v>1496.883</v>
      </c>
      <c r="P524" s="868" t="s">
        <v>728</v>
      </c>
      <c r="Q524" s="422"/>
      <c r="R524" s="419"/>
      <c r="S524" s="419"/>
      <c r="T524" s="733"/>
      <c r="U524" s="444"/>
      <c r="V524" s="425"/>
      <c r="W524" s="427"/>
      <c r="X524" s="421"/>
      <c r="Y524" s="419" t="s">
        <v>2896</v>
      </c>
      <c r="Z524" s="462" t="s">
        <v>2897</v>
      </c>
      <c r="AA524" s="496">
        <v>41270</v>
      </c>
      <c r="AB524" s="550"/>
      <c r="AC524" s="881">
        <v>41262</v>
      </c>
      <c r="AD524" s="444">
        <v>41246</v>
      </c>
      <c r="AE524" s="444"/>
      <c r="AF524" s="444"/>
      <c r="AG524" s="423"/>
      <c r="AH524" s="423">
        <v>0</v>
      </c>
      <c r="AI524" s="425"/>
      <c r="AJ524" s="736"/>
      <c r="AK524" s="423"/>
      <c r="AL524" s="423"/>
      <c r="AM524" s="423"/>
      <c r="AN524" s="423"/>
      <c r="AO524" s="419"/>
      <c r="AP524" s="463"/>
      <c r="AQ524" s="782"/>
    </row>
    <row r="525" spans="1:47" s="464" customFormat="1" ht="12.75" customHeight="1">
      <c r="A525" s="491" t="s">
        <v>3899</v>
      </c>
      <c r="B525" s="468" t="s">
        <v>2475</v>
      </c>
      <c r="C525" s="445" t="s">
        <v>3754</v>
      </c>
      <c r="D525" s="420" t="s">
        <v>707</v>
      </c>
      <c r="E525" s="419" t="s">
        <v>1043</v>
      </c>
      <c r="F525" s="419">
        <v>1</v>
      </c>
      <c r="G525" s="419"/>
      <c r="H525" s="448" t="s">
        <v>968</v>
      </c>
      <c r="I525" s="448" t="s">
        <v>1548</v>
      </c>
      <c r="J525" s="419" t="s">
        <v>2264</v>
      </c>
      <c r="K525" s="455" t="s">
        <v>2001</v>
      </c>
      <c r="L525" s="425">
        <v>473.73</v>
      </c>
      <c r="M525" s="423">
        <v>0</v>
      </c>
      <c r="N525" s="431">
        <v>39573</v>
      </c>
      <c r="O525" s="425">
        <v>2210.7420000000002</v>
      </c>
      <c r="P525" s="868" t="s">
        <v>728</v>
      </c>
      <c r="Q525" s="422"/>
      <c r="R525" s="419"/>
      <c r="S525" s="419"/>
      <c r="T525" s="733"/>
      <c r="U525" s="444"/>
      <c r="V525" s="425"/>
      <c r="W525" s="427"/>
      <c r="X525" s="421"/>
      <c r="Y525" s="419" t="s">
        <v>2896</v>
      </c>
      <c r="Z525" s="462" t="s">
        <v>2897</v>
      </c>
      <c r="AA525" s="496">
        <v>41270</v>
      </c>
      <c r="AB525" s="550"/>
      <c r="AC525" s="881">
        <v>41262</v>
      </c>
      <c r="AD525" s="444">
        <v>41246</v>
      </c>
      <c r="AE525" s="444"/>
      <c r="AF525" s="444"/>
      <c r="AG525" s="423"/>
      <c r="AH525" s="423">
        <v>0</v>
      </c>
      <c r="AI525" s="425"/>
      <c r="AJ525" s="736"/>
      <c r="AK525" s="423"/>
      <c r="AL525" s="423"/>
      <c r="AM525" s="423"/>
      <c r="AN525" s="423"/>
      <c r="AO525" s="419"/>
      <c r="AP525" s="463"/>
      <c r="AQ525" s="782"/>
    </row>
    <row r="526" spans="1:47" s="464" customFormat="1" ht="27.75" customHeight="1">
      <c r="A526" s="467" t="s">
        <v>3900</v>
      </c>
      <c r="B526" s="468" t="s">
        <v>2475</v>
      </c>
      <c r="C526" s="445" t="s">
        <v>3755</v>
      </c>
      <c r="D526" s="420" t="s">
        <v>707</v>
      </c>
      <c r="E526" s="419" t="s">
        <v>1043</v>
      </c>
      <c r="F526" s="419">
        <v>1</v>
      </c>
      <c r="G526" s="419"/>
      <c r="H526" s="448" t="s">
        <v>968</v>
      </c>
      <c r="I526" s="448" t="s">
        <v>1548</v>
      </c>
      <c r="J526" s="420" t="s">
        <v>2264</v>
      </c>
      <c r="K526" s="455" t="s">
        <v>2001</v>
      </c>
      <c r="L526" s="425">
        <v>495.04199999999997</v>
      </c>
      <c r="M526" s="423">
        <v>0</v>
      </c>
      <c r="N526" s="431">
        <v>39573</v>
      </c>
      <c r="O526" s="425">
        <v>2310.1970000000001</v>
      </c>
      <c r="P526" s="868" t="s">
        <v>728</v>
      </c>
      <c r="Q526" s="422"/>
      <c r="R526" s="419"/>
      <c r="S526" s="419"/>
      <c r="T526" s="733"/>
      <c r="U526" s="444"/>
      <c r="V526" s="425"/>
      <c r="W526" s="427"/>
      <c r="X526" s="421"/>
      <c r="Y526" s="419" t="s">
        <v>2896</v>
      </c>
      <c r="Z526" s="462" t="s">
        <v>2897</v>
      </c>
      <c r="AA526" s="496">
        <v>41270</v>
      </c>
      <c r="AB526" s="550"/>
      <c r="AC526" s="881">
        <v>41262</v>
      </c>
      <c r="AD526" s="444">
        <v>41246</v>
      </c>
      <c r="AE526" s="444"/>
      <c r="AF526" s="444"/>
      <c r="AG526" s="423"/>
      <c r="AH526" s="423">
        <v>0</v>
      </c>
      <c r="AI526" s="425"/>
      <c r="AJ526" s="736"/>
      <c r="AK526" s="423"/>
      <c r="AL526" s="423"/>
      <c r="AM526" s="423"/>
      <c r="AN526" s="423"/>
      <c r="AO526" s="419"/>
      <c r="AP526" s="463"/>
      <c r="AQ526" s="782"/>
    </row>
    <row r="527" spans="1:47" s="464" customFormat="1" ht="32.25" customHeight="1">
      <c r="A527" s="491" t="s">
        <v>3902</v>
      </c>
      <c r="B527" s="489" t="s">
        <v>2475</v>
      </c>
      <c r="C527" s="445" t="s">
        <v>3790</v>
      </c>
      <c r="D527" s="449" t="s">
        <v>707</v>
      </c>
      <c r="E527" s="419" t="s">
        <v>2681</v>
      </c>
      <c r="F527" s="419">
        <v>1</v>
      </c>
      <c r="G527" s="419"/>
      <c r="H527" s="448" t="s">
        <v>968</v>
      </c>
      <c r="I527" s="455" t="s">
        <v>970</v>
      </c>
      <c r="J527" s="420" t="s">
        <v>970</v>
      </c>
      <c r="K527" s="455" t="s">
        <v>680</v>
      </c>
      <c r="L527" s="425">
        <f>O527/2*12</f>
        <v>133.542</v>
      </c>
      <c r="M527" s="423">
        <v>0</v>
      </c>
      <c r="N527" s="431">
        <v>41214</v>
      </c>
      <c r="O527" s="425">
        <v>22.257000000000001</v>
      </c>
      <c r="P527" s="868" t="s">
        <v>728</v>
      </c>
      <c r="Q527" s="422"/>
      <c r="R527" s="419"/>
      <c r="S527" s="419"/>
      <c r="T527" s="733"/>
      <c r="U527" s="444"/>
      <c r="V527" s="425"/>
      <c r="W527" s="427"/>
      <c r="X527" s="421"/>
      <c r="Y527" s="419" t="s">
        <v>2698</v>
      </c>
      <c r="Z527" s="462" t="s">
        <v>1616</v>
      </c>
      <c r="AA527" s="496">
        <v>41270</v>
      </c>
      <c r="AB527" s="550"/>
      <c r="AC527" s="881">
        <v>41262</v>
      </c>
      <c r="AD527" s="444">
        <v>41193</v>
      </c>
      <c r="AE527" s="444"/>
      <c r="AF527" s="444"/>
      <c r="AG527" s="423"/>
      <c r="AH527" s="423">
        <f>65*3.075</f>
        <v>199.875</v>
      </c>
      <c r="AI527" s="425"/>
      <c r="AJ527" s="736"/>
      <c r="AK527" s="423"/>
      <c r="AL527" s="423"/>
      <c r="AM527" s="423"/>
      <c r="AN527" s="423"/>
      <c r="AO527" s="419" t="s">
        <v>3791</v>
      </c>
      <c r="AP527" s="463"/>
      <c r="AQ527" s="782"/>
    </row>
    <row r="528" spans="1:47" s="464" customFormat="1" ht="29.25" customHeight="1">
      <c r="A528" s="467" t="s">
        <v>3903</v>
      </c>
      <c r="B528" s="489" t="s">
        <v>2475</v>
      </c>
      <c r="C528" s="445" t="s">
        <v>3807</v>
      </c>
      <c r="D528" s="420" t="s">
        <v>707</v>
      </c>
      <c r="E528" s="419" t="s">
        <v>1043</v>
      </c>
      <c r="F528" s="419">
        <v>1</v>
      </c>
      <c r="G528" s="419"/>
      <c r="H528" s="448" t="s">
        <v>968</v>
      </c>
      <c r="I528" s="455" t="s">
        <v>1736</v>
      </c>
      <c r="J528" s="449" t="s">
        <v>2750</v>
      </c>
      <c r="K528" s="455" t="s">
        <v>2001</v>
      </c>
      <c r="L528" s="425">
        <f>O528/5</f>
        <v>96.2256</v>
      </c>
      <c r="M528" s="423">
        <v>17</v>
      </c>
      <c r="N528" s="431">
        <v>39448</v>
      </c>
      <c r="O528" s="425">
        <v>481.12799999999999</v>
      </c>
      <c r="P528" s="868" t="s">
        <v>896</v>
      </c>
      <c r="Q528" s="422"/>
      <c r="R528" s="419"/>
      <c r="S528" s="419"/>
      <c r="T528" s="733"/>
      <c r="U528" s="444"/>
      <c r="V528" s="425"/>
      <c r="W528" s="427"/>
      <c r="X528" s="421"/>
      <c r="Y528" s="445" t="s">
        <v>3810</v>
      </c>
      <c r="Z528" s="462" t="s">
        <v>3811</v>
      </c>
      <c r="AA528" s="496">
        <v>41270</v>
      </c>
      <c r="AB528" s="550"/>
      <c r="AC528" s="881">
        <v>41262</v>
      </c>
      <c r="AD528" s="444">
        <v>41247</v>
      </c>
      <c r="AE528" s="444"/>
      <c r="AF528" s="444"/>
      <c r="AG528" s="423"/>
      <c r="AH528" s="423">
        <v>0</v>
      </c>
      <c r="AI528" s="425"/>
      <c r="AJ528" s="736"/>
      <c r="AK528" s="423"/>
      <c r="AL528" s="423"/>
      <c r="AM528" s="423"/>
      <c r="AN528" s="423"/>
      <c r="AO528" s="419"/>
      <c r="AP528" s="463"/>
      <c r="AQ528" s="782"/>
    </row>
    <row r="529" spans="1:43" s="464" customFormat="1" ht="33" customHeight="1">
      <c r="A529" s="491" t="s">
        <v>4002</v>
      </c>
      <c r="B529" s="489" t="s">
        <v>2475</v>
      </c>
      <c r="C529" s="445" t="s">
        <v>4006</v>
      </c>
      <c r="D529" s="420" t="s">
        <v>707</v>
      </c>
      <c r="E529" s="445" t="s">
        <v>1043</v>
      </c>
      <c r="F529" s="419">
        <v>1</v>
      </c>
      <c r="G529" s="419"/>
      <c r="H529" s="448" t="s">
        <v>968</v>
      </c>
      <c r="I529" s="455" t="s">
        <v>1576</v>
      </c>
      <c r="J529" s="445" t="s">
        <v>1614</v>
      </c>
      <c r="K529" s="455" t="s">
        <v>2001</v>
      </c>
      <c r="L529" s="425">
        <v>44.595999999999997</v>
      </c>
      <c r="M529" s="423">
        <v>10</v>
      </c>
      <c r="N529" s="431">
        <v>39501</v>
      </c>
      <c r="O529" s="425">
        <v>215.54900000000001</v>
      </c>
      <c r="P529" s="868" t="s">
        <v>728</v>
      </c>
      <c r="Q529" s="422"/>
      <c r="R529" s="419"/>
      <c r="S529" s="419"/>
      <c r="T529" s="733"/>
      <c r="U529" s="444"/>
      <c r="V529" s="425"/>
      <c r="W529" s="427"/>
      <c r="X529" s="421"/>
      <c r="Y529" s="445" t="s">
        <v>4007</v>
      </c>
      <c r="Z529" s="462" t="s">
        <v>835</v>
      </c>
      <c r="AA529" s="496">
        <v>41296</v>
      </c>
      <c r="AB529" s="550"/>
      <c r="AC529" s="881">
        <v>41262</v>
      </c>
      <c r="AD529" s="444">
        <v>41248</v>
      </c>
      <c r="AE529" s="444"/>
      <c r="AF529" s="444"/>
      <c r="AG529" s="423"/>
      <c r="AH529" s="423">
        <v>0</v>
      </c>
      <c r="AI529" s="425"/>
      <c r="AJ529" s="423">
        <f>3.3677</f>
        <v>3.3677000000000001</v>
      </c>
      <c r="AK529" s="423">
        <f>AJ529*1000/L529</f>
        <v>75.515741322091685</v>
      </c>
      <c r="AL529" s="423"/>
      <c r="AM529" s="423">
        <v>24.41</v>
      </c>
      <c r="AN529" s="423"/>
      <c r="AO529" s="419"/>
      <c r="AP529" s="463"/>
      <c r="AQ529" s="782"/>
    </row>
    <row r="530" spans="1:43" s="464" customFormat="1" ht="30.75" customHeight="1">
      <c r="A530" s="467" t="s">
        <v>4003</v>
      </c>
      <c r="B530" s="489" t="s">
        <v>2475</v>
      </c>
      <c r="C530" s="445" t="s">
        <v>4008</v>
      </c>
      <c r="D530" s="420" t="s">
        <v>707</v>
      </c>
      <c r="E530" s="445" t="s">
        <v>2416</v>
      </c>
      <c r="F530" s="420">
        <v>1</v>
      </c>
      <c r="G530" s="419"/>
      <c r="H530" s="421" t="s">
        <v>968</v>
      </c>
      <c r="I530" s="455" t="s">
        <v>1736</v>
      </c>
      <c r="J530" s="445" t="s">
        <v>1577</v>
      </c>
      <c r="K530" s="455" t="s">
        <v>2001</v>
      </c>
      <c r="L530" s="425">
        <f t="shared" ref="L530:L535" si="27">O530/5</f>
        <v>77.010599999999997</v>
      </c>
      <c r="M530" s="423">
        <v>0</v>
      </c>
      <c r="N530" s="431">
        <v>39448</v>
      </c>
      <c r="O530" s="425">
        <v>385.053</v>
      </c>
      <c r="P530" s="868" t="s">
        <v>896</v>
      </c>
      <c r="Q530" s="422"/>
      <c r="R530" s="419"/>
      <c r="S530" s="419"/>
      <c r="T530" s="733"/>
      <c r="U530" s="444"/>
      <c r="V530" s="425"/>
      <c r="W530" s="427"/>
      <c r="X530" s="421"/>
      <c r="Y530" s="445" t="s">
        <v>3810</v>
      </c>
      <c r="Z530" s="462" t="s">
        <v>4009</v>
      </c>
      <c r="AA530" s="496">
        <v>41297</v>
      </c>
      <c r="AB530" s="550"/>
      <c r="AC530" s="881">
        <v>41262</v>
      </c>
      <c r="AD530" s="444">
        <v>41232</v>
      </c>
      <c r="AE530" s="444"/>
      <c r="AF530" s="444"/>
      <c r="AG530" s="423"/>
      <c r="AH530" s="423">
        <v>0</v>
      </c>
      <c r="AI530" s="425"/>
      <c r="AJ530" s="736"/>
      <c r="AK530" s="423"/>
      <c r="AL530" s="423"/>
      <c r="AM530" s="423"/>
      <c r="AN530" s="423"/>
      <c r="AO530" s="419"/>
      <c r="AP530" s="463"/>
      <c r="AQ530" s="782"/>
    </row>
    <row r="531" spans="1:43" s="464" customFormat="1" ht="30.75" customHeight="1">
      <c r="A531" s="491" t="s">
        <v>4004</v>
      </c>
      <c r="B531" s="489" t="s">
        <v>2475</v>
      </c>
      <c r="C531" s="445" t="s">
        <v>4010</v>
      </c>
      <c r="D531" s="420" t="s">
        <v>707</v>
      </c>
      <c r="E531" s="445" t="s">
        <v>2416</v>
      </c>
      <c r="F531" s="420">
        <v>1</v>
      </c>
      <c r="G531" s="419"/>
      <c r="H531" s="421" t="s">
        <v>968</v>
      </c>
      <c r="I531" s="455" t="s">
        <v>1736</v>
      </c>
      <c r="J531" s="445" t="s">
        <v>1577</v>
      </c>
      <c r="K531" s="455" t="s">
        <v>2001</v>
      </c>
      <c r="L531" s="425">
        <f t="shared" si="27"/>
        <v>525.59799999999996</v>
      </c>
      <c r="M531" s="423">
        <v>0</v>
      </c>
      <c r="N531" s="431">
        <v>39448</v>
      </c>
      <c r="O531" s="425">
        <v>2627.99</v>
      </c>
      <c r="P531" s="868" t="s">
        <v>896</v>
      </c>
      <c r="Q531" s="422"/>
      <c r="R531" s="419"/>
      <c r="S531" s="419"/>
      <c r="T531" s="733"/>
      <c r="U531" s="444"/>
      <c r="V531" s="425"/>
      <c r="W531" s="427"/>
      <c r="X531" s="421"/>
      <c r="Y531" s="445" t="s">
        <v>3810</v>
      </c>
      <c r="Z531" s="462" t="s">
        <v>4011</v>
      </c>
      <c r="AA531" s="496">
        <v>41297</v>
      </c>
      <c r="AB531" s="550"/>
      <c r="AC531" s="881">
        <v>41262</v>
      </c>
      <c r="AD531" s="444">
        <v>41241</v>
      </c>
      <c r="AE531" s="444"/>
      <c r="AF531" s="444"/>
      <c r="AG531" s="423"/>
      <c r="AH531" s="423">
        <v>0</v>
      </c>
      <c r="AI531" s="425"/>
      <c r="AJ531" s="736"/>
      <c r="AK531" s="423"/>
      <c r="AL531" s="423"/>
      <c r="AM531" s="423"/>
      <c r="AN531" s="423"/>
      <c r="AO531" s="419"/>
      <c r="AP531" s="463"/>
      <c r="AQ531" s="782"/>
    </row>
    <row r="532" spans="1:43" s="464" customFormat="1" ht="32.25" customHeight="1">
      <c r="A532" s="467" t="s">
        <v>4005</v>
      </c>
      <c r="B532" s="489" t="s">
        <v>2475</v>
      </c>
      <c r="C532" s="445" t="s">
        <v>4012</v>
      </c>
      <c r="D532" s="420" t="s">
        <v>707</v>
      </c>
      <c r="E532" s="445" t="s">
        <v>2416</v>
      </c>
      <c r="F532" s="419">
        <v>1</v>
      </c>
      <c r="G532" s="419"/>
      <c r="H532" s="421" t="s">
        <v>968</v>
      </c>
      <c r="I532" s="455" t="s">
        <v>1736</v>
      </c>
      <c r="J532" s="445" t="s">
        <v>1577</v>
      </c>
      <c r="K532" s="455" t="s">
        <v>2001</v>
      </c>
      <c r="L532" s="425">
        <f t="shared" si="27"/>
        <v>111.06880000000001</v>
      </c>
      <c r="M532" s="423">
        <v>0</v>
      </c>
      <c r="N532" s="431">
        <v>39448</v>
      </c>
      <c r="O532" s="425">
        <v>555.34400000000005</v>
      </c>
      <c r="P532" s="868" t="s">
        <v>896</v>
      </c>
      <c r="Q532" s="422"/>
      <c r="R532" s="419"/>
      <c r="S532" s="419"/>
      <c r="T532" s="733"/>
      <c r="U532" s="444"/>
      <c r="V532" s="425"/>
      <c r="W532" s="427"/>
      <c r="X532" s="421"/>
      <c r="Y532" s="445" t="s">
        <v>3810</v>
      </c>
      <c r="Z532" s="462" t="s">
        <v>4013</v>
      </c>
      <c r="AA532" s="496">
        <v>41297</v>
      </c>
      <c r="AB532" s="550"/>
      <c r="AC532" s="881">
        <v>41262</v>
      </c>
      <c r="AD532" s="444">
        <v>41240</v>
      </c>
      <c r="AE532" s="444"/>
      <c r="AF532" s="444"/>
      <c r="AG532" s="423"/>
      <c r="AH532" s="423">
        <v>0</v>
      </c>
      <c r="AI532" s="425"/>
      <c r="AJ532" s="736"/>
      <c r="AK532" s="423"/>
      <c r="AL532" s="423"/>
      <c r="AM532" s="423"/>
      <c r="AN532" s="423"/>
      <c r="AO532" s="419"/>
      <c r="AP532" s="463"/>
      <c r="AQ532" s="782"/>
    </row>
    <row r="533" spans="1:43" s="464" customFormat="1" ht="15.75" customHeight="1">
      <c r="A533" s="491" t="s">
        <v>4059</v>
      </c>
      <c r="B533" s="489" t="s">
        <v>2475</v>
      </c>
      <c r="C533" s="445" t="s">
        <v>4058</v>
      </c>
      <c r="D533" s="449" t="s">
        <v>707</v>
      </c>
      <c r="E533" s="445" t="s">
        <v>4060</v>
      </c>
      <c r="F533" s="419">
        <v>1</v>
      </c>
      <c r="G533" s="419"/>
      <c r="H533" s="448" t="s">
        <v>968</v>
      </c>
      <c r="I533" s="455" t="s">
        <v>1467</v>
      </c>
      <c r="J533" s="445" t="s">
        <v>2584</v>
      </c>
      <c r="K533" s="455" t="s">
        <v>2001</v>
      </c>
      <c r="L533" s="425">
        <f t="shared" si="27"/>
        <v>272.96699999999998</v>
      </c>
      <c r="M533" s="423">
        <v>0</v>
      </c>
      <c r="N533" s="431">
        <v>39448</v>
      </c>
      <c r="O533" s="425">
        <v>1364.835</v>
      </c>
      <c r="P533" s="999" t="s">
        <v>728</v>
      </c>
      <c r="Q533" s="422"/>
      <c r="R533" s="425"/>
      <c r="S533" s="425"/>
      <c r="T533" s="733"/>
      <c r="U533" s="444"/>
      <c r="V533" s="425"/>
      <c r="W533" s="400"/>
      <c r="X533" s="421"/>
      <c r="Y533" s="445" t="s">
        <v>2887</v>
      </c>
      <c r="Z533" s="462" t="s">
        <v>4057</v>
      </c>
      <c r="AA533" s="496">
        <v>41381</v>
      </c>
      <c r="AB533" s="550"/>
      <c r="AC533" s="881">
        <v>41347</v>
      </c>
      <c r="AD533" s="444">
        <v>41250</v>
      </c>
      <c r="AE533" s="444"/>
      <c r="AF533" s="444"/>
      <c r="AG533" s="423"/>
      <c r="AH533" s="423">
        <v>0</v>
      </c>
      <c r="AI533" s="425"/>
      <c r="AJ533" s="736"/>
      <c r="AK533" s="423"/>
      <c r="AL533" s="423"/>
      <c r="AM533" s="423"/>
      <c r="AN533" s="423"/>
      <c r="AO533" s="419"/>
      <c r="AP533" s="463"/>
      <c r="AQ533" s="782"/>
    </row>
    <row r="534" spans="1:43" s="464" customFormat="1" ht="27.75" customHeight="1">
      <c r="A534" s="467" t="s">
        <v>4086</v>
      </c>
      <c r="B534" s="489" t="s">
        <v>2475</v>
      </c>
      <c r="C534" s="445" t="s">
        <v>4089</v>
      </c>
      <c r="D534" s="420" t="s">
        <v>707</v>
      </c>
      <c r="E534" s="445" t="s">
        <v>1559</v>
      </c>
      <c r="F534" s="419">
        <v>1</v>
      </c>
      <c r="G534" s="419"/>
      <c r="H534" s="421" t="s">
        <v>968</v>
      </c>
      <c r="I534" s="455" t="s">
        <v>1467</v>
      </c>
      <c r="J534" s="445" t="s">
        <v>2584</v>
      </c>
      <c r="K534" s="455" t="s">
        <v>2001</v>
      </c>
      <c r="L534" s="425">
        <f t="shared" si="27"/>
        <v>385.78020000000004</v>
      </c>
      <c r="M534" s="423">
        <v>0</v>
      </c>
      <c r="N534" s="431">
        <v>39448</v>
      </c>
      <c r="O534" s="425">
        <v>1928.9010000000001</v>
      </c>
      <c r="P534" s="999" t="s">
        <v>728</v>
      </c>
      <c r="Q534" s="422"/>
      <c r="R534" s="425"/>
      <c r="S534" s="425"/>
      <c r="T534" s="733"/>
      <c r="U534" s="444"/>
      <c r="V534" s="425"/>
      <c r="W534" s="427"/>
      <c r="X534" s="421"/>
      <c r="Y534" s="445" t="s">
        <v>2887</v>
      </c>
      <c r="Z534" s="445" t="s">
        <v>2889</v>
      </c>
      <c r="AA534" s="496">
        <v>41515</v>
      </c>
      <c r="AB534" s="550"/>
      <c r="AC534" s="881">
        <v>41373</v>
      </c>
      <c r="AD534" s="444">
        <v>41338</v>
      </c>
      <c r="AE534" s="444"/>
      <c r="AF534" s="444"/>
      <c r="AG534" s="423"/>
      <c r="AH534" s="423">
        <v>0</v>
      </c>
      <c r="AI534" s="425"/>
      <c r="AJ534" s="736"/>
      <c r="AK534" s="423"/>
      <c r="AL534" s="423"/>
      <c r="AM534" s="423"/>
      <c r="AN534" s="423"/>
      <c r="AO534" s="419"/>
      <c r="AP534" s="463"/>
      <c r="AQ534" s="467"/>
    </row>
    <row r="535" spans="1:43" s="464" customFormat="1" ht="28.5" customHeight="1">
      <c r="A535" s="491" t="s">
        <v>4087</v>
      </c>
      <c r="B535" s="489" t="s">
        <v>2475</v>
      </c>
      <c r="C535" s="445" t="s">
        <v>4088</v>
      </c>
      <c r="D535" s="420" t="s">
        <v>707</v>
      </c>
      <c r="E535" s="419" t="s">
        <v>1113</v>
      </c>
      <c r="F535" s="419">
        <v>1</v>
      </c>
      <c r="G535" s="419"/>
      <c r="H535" s="448" t="s">
        <v>968</v>
      </c>
      <c r="I535" s="455" t="s">
        <v>1467</v>
      </c>
      <c r="J535" s="445" t="s">
        <v>2584</v>
      </c>
      <c r="K535" s="455" t="s">
        <v>2001</v>
      </c>
      <c r="L535" s="425">
        <f t="shared" si="27"/>
        <v>232.94400000000002</v>
      </c>
      <c r="M535" s="423">
        <v>0</v>
      </c>
      <c r="N535" s="431">
        <v>39448</v>
      </c>
      <c r="O535" s="425">
        <v>1164.72</v>
      </c>
      <c r="P535" s="999" t="s">
        <v>728</v>
      </c>
      <c r="Q535" s="422"/>
      <c r="R535" s="425"/>
      <c r="S535" s="425"/>
      <c r="T535" s="733"/>
      <c r="U535" s="444"/>
      <c r="V535" s="425"/>
      <c r="W535" s="427"/>
      <c r="X535" s="421"/>
      <c r="Y535" s="445" t="s">
        <v>2887</v>
      </c>
      <c r="Z535" s="462" t="s">
        <v>2889</v>
      </c>
      <c r="AA535" s="496">
        <v>41515</v>
      </c>
      <c r="AB535" s="550"/>
      <c r="AC535" s="881">
        <v>41373</v>
      </c>
      <c r="AD535" s="444">
        <v>41338</v>
      </c>
      <c r="AE535" s="444"/>
      <c r="AF535" s="444"/>
      <c r="AG535" s="423"/>
      <c r="AH535" s="423"/>
      <c r="AI535" s="425"/>
      <c r="AJ535" s="736"/>
      <c r="AK535" s="423"/>
      <c r="AL535" s="423"/>
      <c r="AM535" s="423"/>
      <c r="AN535" s="423"/>
      <c r="AO535" s="419"/>
      <c r="AP535" s="463"/>
      <c r="AQ535" s="467"/>
    </row>
    <row r="536" spans="1:43" s="464" customFormat="1" ht="26.25" customHeight="1">
      <c r="A536" s="467" t="s">
        <v>4091</v>
      </c>
      <c r="B536" s="489" t="s">
        <v>2475</v>
      </c>
      <c r="C536" s="445" t="s">
        <v>4100</v>
      </c>
      <c r="D536" s="449" t="s">
        <v>707</v>
      </c>
      <c r="E536" s="419" t="s">
        <v>1126</v>
      </c>
      <c r="F536" s="419">
        <v>1</v>
      </c>
      <c r="G536" s="445" t="s">
        <v>4101</v>
      </c>
      <c r="H536" s="421" t="s">
        <v>968</v>
      </c>
      <c r="I536" s="455" t="s">
        <v>719</v>
      </c>
      <c r="J536" s="445" t="s">
        <v>2145</v>
      </c>
      <c r="K536" s="455" t="s">
        <v>2127</v>
      </c>
      <c r="L536" s="425">
        <v>52.082000000000001</v>
      </c>
      <c r="M536" s="423">
        <v>6</v>
      </c>
      <c r="N536" s="431">
        <v>39448</v>
      </c>
      <c r="O536" s="425">
        <f>L536*5</f>
        <v>260.41000000000003</v>
      </c>
      <c r="P536" s="999" t="s">
        <v>728</v>
      </c>
      <c r="Q536" s="422"/>
      <c r="R536" s="425"/>
      <c r="S536" s="425"/>
      <c r="T536" s="733"/>
      <c r="U536" s="444"/>
      <c r="V536" s="425"/>
      <c r="W536" s="427"/>
      <c r="X536" s="421"/>
      <c r="Y536" s="445" t="s">
        <v>2887</v>
      </c>
      <c r="Z536" s="462" t="s">
        <v>1091</v>
      </c>
      <c r="AA536" s="496">
        <v>41565</v>
      </c>
      <c r="AB536" s="550">
        <v>41653</v>
      </c>
      <c r="AC536" s="881">
        <v>41383</v>
      </c>
      <c r="AD536" s="444">
        <v>41372</v>
      </c>
      <c r="AE536" s="444"/>
      <c r="AF536" s="444"/>
      <c r="AG536" s="423"/>
      <c r="AH536" s="423">
        <v>0</v>
      </c>
      <c r="AI536" s="425"/>
      <c r="AJ536" s="736"/>
      <c r="AK536" s="423"/>
      <c r="AL536" s="423"/>
      <c r="AM536" s="423"/>
      <c r="AN536" s="423"/>
      <c r="AO536" s="419"/>
      <c r="AP536" s="463"/>
      <c r="AQ536" s="467"/>
    </row>
    <row r="537" spans="1:43" s="464" customFormat="1" ht="17.25" customHeight="1">
      <c r="A537" s="491" t="s">
        <v>4094</v>
      </c>
      <c r="B537" s="489" t="s">
        <v>2475</v>
      </c>
      <c r="C537" s="445" t="s">
        <v>4095</v>
      </c>
      <c r="D537" s="449" t="s">
        <v>707</v>
      </c>
      <c r="E537" s="419" t="s">
        <v>3319</v>
      </c>
      <c r="F537" s="419">
        <v>1</v>
      </c>
      <c r="G537" s="419"/>
      <c r="H537" s="421" t="s">
        <v>968</v>
      </c>
      <c r="I537" s="455" t="s">
        <v>1467</v>
      </c>
      <c r="J537" s="445" t="s">
        <v>2584</v>
      </c>
      <c r="K537" s="455" t="s">
        <v>2001</v>
      </c>
      <c r="L537" s="425">
        <v>795.423</v>
      </c>
      <c r="M537" s="423">
        <v>0</v>
      </c>
      <c r="N537" s="431">
        <v>39448</v>
      </c>
      <c r="O537" s="425">
        <f>L537*5</f>
        <v>3977.1149999999998</v>
      </c>
      <c r="P537" s="999" t="s">
        <v>728</v>
      </c>
      <c r="Q537" s="422"/>
      <c r="R537" s="425"/>
      <c r="S537" s="425"/>
      <c r="T537" s="733"/>
      <c r="U537" s="444"/>
      <c r="V537" s="425"/>
      <c r="W537" s="427"/>
      <c r="X537" s="421"/>
      <c r="Y537" s="445" t="s">
        <v>2887</v>
      </c>
      <c r="Z537" s="445" t="s">
        <v>2889</v>
      </c>
      <c r="AA537" s="496">
        <v>41612</v>
      </c>
      <c r="AB537" s="550"/>
      <c r="AC537" s="881">
        <v>41373</v>
      </c>
      <c r="AD537" s="444">
        <v>41338</v>
      </c>
      <c r="AE537" s="444"/>
      <c r="AF537" s="444"/>
      <c r="AG537" s="423"/>
      <c r="AH537" s="423">
        <v>0</v>
      </c>
      <c r="AI537" s="425"/>
      <c r="AJ537" s="736"/>
      <c r="AK537" s="423"/>
      <c r="AL537" s="423"/>
      <c r="AM537" s="423"/>
      <c r="AN537" s="423"/>
      <c r="AO537" s="419"/>
      <c r="AP537" s="463"/>
      <c r="AQ537" s="467"/>
    </row>
    <row r="538" spans="1:43" s="464" customFormat="1" ht="29.25" customHeight="1">
      <c r="A538" s="51" t="s">
        <v>1392</v>
      </c>
      <c r="B538" s="63" t="s">
        <v>2547</v>
      </c>
      <c r="C538" s="445" t="s">
        <v>2780</v>
      </c>
      <c r="D538" s="420" t="s">
        <v>707</v>
      </c>
      <c r="E538" s="419"/>
      <c r="F538" s="419">
        <v>1</v>
      </c>
      <c r="G538" s="452" t="s">
        <v>2964</v>
      </c>
      <c r="H538" s="421" t="s">
        <v>968</v>
      </c>
      <c r="I538" s="471" t="s">
        <v>1736</v>
      </c>
      <c r="J538" s="420" t="s">
        <v>983</v>
      </c>
      <c r="K538" s="533" t="s">
        <v>2001</v>
      </c>
      <c r="L538" s="425">
        <f>O538/5</f>
        <v>906.26900000000001</v>
      </c>
      <c r="M538" s="423">
        <v>0</v>
      </c>
      <c r="N538" s="431">
        <v>39448</v>
      </c>
      <c r="O538" s="425">
        <v>4531.3450000000003</v>
      </c>
      <c r="P538" s="548" t="s">
        <v>1732</v>
      </c>
      <c r="Q538" s="1092">
        <f>643.006+264.15+177.745+281.358+181.31+292.553+203.695+223.319+181.224+341.579+511.34+309.132+283.471</f>
        <v>3893.8820000000005</v>
      </c>
      <c r="R538" s="425"/>
      <c r="S538" s="425"/>
      <c r="T538" s="876">
        <v>40015</v>
      </c>
      <c r="U538" s="444">
        <v>40907</v>
      </c>
      <c r="V538" s="425">
        <v>3622.5930712328768</v>
      </c>
      <c r="W538" s="400">
        <f>Q538/V538</f>
        <v>1.0748880493703357</v>
      </c>
      <c r="X538" s="421" t="s">
        <v>728</v>
      </c>
      <c r="Y538" s="419" t="s">
        <v>564</v>
      </c>
      <c r="Z538" s="428" t="s">
        <v>992</v>
      </c>
      <c r="AA538" s="1006">
        <v>39156</v>
      </c>
      <c r="AB538" s="550"/>
      <c r="AC538" s="881">
        <v>39658</v>
      </c>
      <c r="AD538" s="444">
        <v>39561</v>
      </c>
      <c r="AE538" s="444"/>
      <c r="AF538" s="448"/>
      <c r="AG538" s="423"/>
      <c r="AH538" s="423"/>
      <c r="AI538" s="425"/>
      <c r="AJ538" s="423"/>
      <c r="AK538" s="423"/>
      <c r="AL538" s="423"/>
      <c r="AM538" s="423"/>
      <c r="AN538" s="423"/>
      <c r="AO538" s="419" t="s">
        <v>2577</v>
      </c>
      <c r="AP538" s="463"/>
      <c r="AQ538" s="51"/>
    </row>
    <row r="539" spans="1:43" s="464" customFormat="1" ht="16.5" customHeight="1">
      <c r="A539" s="459" t="s">
        <v>1148</v>
      </c>
      <c r="B539" s="63" t="s">
        <v>473</v>
      </c>
      <c r="C539" s="405" t="s">
        <v>501</v>
      </c>
      <c r="D539" s="392" t="s">
        <v>707</v>
      </c>
      <c r="E539" s="391" t="s">
        <v>1166</v>
      </c>
      <c r="F539" s="391">
        <v>1</v>
      </c>
      <c r="G539" s="391"/>
      <c r="H539" s="404" t="s">
        <v>968</v>
      </c>
      <c r="I539" s="394" t="s">
        <v>1467</v>
      </c>
      <c r="J539" s="391" t="s">
        <v>1155</v>
      </c>
      <c r="K539" s="533" t="s">
        <v>2001</v>
      </c>
      <c r="L539" s="399">
        <f>O539/5</f>
        <v>116.33435999999999</v>
      </c>
      <c r="M539" s="396">
        <v>15</v>
      </c>
      <c r="N539" s="401">
        <v>39448</v>
      </c>
      <c r="O539" s="399">
        <v>581.67179999999996</v>
      </c>
      <c r="P539" s="884" t="s">
        <v>1732</v>
      </c>
      <c r="Q539" s="1088">
        <f>148.0136+135.752+127.55902</f>
        <v>411.32461999999998</v>
      </c>
      <c r="R539" s="481"/>
      <c r="S539" s="481"/>
      <c r="T539" s="876">
        <v>39903</v>
      </c>
      <c r="U539" s="397">
        <v>40543</v>
      </c>
      <c r="V539" s="399">
        <v>304.00307999999995</v>
      </c>
      <c r="W539" s="400">
        <f>Q539/V539</f>
        <v>1.3530278048498721</v>
      </c>
      <c r="X539" s="393" t="s">
        <v>728</v>
      </c>
      <c r="Y539" s="391" t="s">
        <v>1476</v>
      </c>
      <c r="Z539" s="391" t="s">
        <v>19</v>
      </c>
      <c r="AA539" s="909">
        <v>39590</v>
      </c>
      <c r="AB539" s="986"/>
      <c r="AC539" s="879">
        <v>39287</v>
      </c>
      <c r="AD539" s="397"/>
      <c r="AE539" s="397">
        <v>39812</v>
      </c>
      <c r="AF539" s="397"/>
      <c r="AG539" s="396"/>
      <c r="AH539" s="396">
        <v>0</v>
      </c>
      <c r="AI539" s="399"/>
      <c r="AJ539" s="396">
        <f>28.5/Exch!B11</f>
        <v>33.753647170402147</v>
      </c>
      <c r="AK539" s="396"/>
      <c r="AL539" s="396"/>
      <c r="AM539" s="396"/>
      <c r="AN539" s="396"/>
      <c r="AO539" s="391" t="s">
        <v>1165</v>
      </c>
      <c r="AP539" s="463"/>
      <c r="AQ539" s="782"/>
    </row>
    <row r="540" spans="1:43" s="464" customFormat="1" ht="29.25" customHeight="1">
      <c r="A540" s="51" t="s">
        <v>1326</v>
      </c>
      <c r="B540" s="63" t="s">
        <v>474</v>
      </c>
      <c r="C540" s="452" t="s">
        <v>2759</v>
      </c>
      <c r="D540" s="392" t="s">
        <v>707</v>
      </c>
      <c r="E540" s="391" t="s">
        <v>1043</v>
      </c>
      <c r="F540" s="391">
        <v>1</v>
      </c>
      <c r="G540" s="452" t="s">
        <v>2758</v>
      </c>
      <c r="H540" s="404" t="s">
        <v>968</v>
      </c>
      <c r="I540" s="394" t="s">
        <v>1467</v>
      </c>
      <c r="J540" s="392" t="s">
        <v>1155</v>
      </c>
      <c r="K540" s="533" t="s">
        <v>2001</v>
      </c>
      <c r="L540" s="399">
        <f>O540/5</f>
        <v>171.71859999999998</v>
      </c>
      <c r="M540" s="396">
        <v>0</v>
      </c>
      <c r="N540" s="401">
        <v>39448</v>
      </c>
      <c r="O540" s="399">
        <v>858.59299999999996</v>
      </c>
      <c r="P540" s="884" t="s">
        <v>1732</v>
      </c>
      <c r="Q540" s="1089">
        <f>301.0559+399.401+438.86+464.426</f>
        <v>1603.7429</v>
      </c>
      <c r="R540" s="399"/>
      <c r="S540" s="399"/>
      <c r="T540" s="876">
        <v>39903</v>
      </c>
      <c r="U540" s="397">
        <v>40908</v>
      </c>
      <c r="V540" s="399">
        <v>686.87439999999992</v>
      </c>
      <c r="W540" s="400">
        <f>Q540/V540</f>
        <v>2.3348415663766189</v>
      </c>
      <c r="X540" s="393" t="s">
        <v>728</v>
      </c>
      <c r="Y540" s="391" t="s">
        <v>1476</v>
      </c>
      <c r="Z540" s="287" t="s">
        <v>1091</v>
      </c>
      <c r="AA540" s="397">
        <v>39038</v>
      </c>
      <c r="AB540" s="876">
        <v>39812</v>
      </c>
      <c r="AC540" s="879">
        <v>39304</v>
      </c>
      <c r="AD540" s="397"/>
      <c r="AE540" s="397">
        <v>39812</v>
      </c>
      <c r="AF540" s="397"/>
      <c r="AG540" s="396"/>
      <c r="AH540" s="396">
        <v>0</v>
      </c>
      <c r="AI540" s="399"/>
      <c r="AJ540" s="396"/>
      <c r="AK540" s="396"/>
      <c r="AL540" s="396"/>
      <c r="AM540" s="396"/>
      <c r="AN540" s="396"/>
      <c r="AO540" s="391"/>
      <c r="AP540" s="463"/>
      <c r="AQ540" s="51"/>
    </row>
    <row r="541" spans="1:43" s="464" customFormat="1" ht="27.75" customHeight="1">
      <c r="A541" s="459" t="s">
        <v>762</v>
      </c>
      <c r="B541" s="63" t="s">
        <v>475</v>
      </c>
      <c r="C541" s="452" t="s">
        <v>2757</v>
      </c>
      <c r="D541" s="392" t="s">
        <v>707</v>
      </c>
      <c r="E541" s="391" t="s">
        <v>20</v>
      </c>
      <c r="F541" s="391">
        <v>1</v>
      </c>
      <c r="G541" s="452" t="s">
        <v>2756</v>
      </c>
      <c r="H541" s="404" t="s">
        <v>968</v>
      </c>
      <c r="I541" s="394" t="s">
        <v>1467</v>
      </c>
      <c r="J541" s="391" t="s">
        <v>1155</v>
      </c>
      <c r="K541" s="533" t="s">
        <v>2001</v>
      </c>
      <c r="L541" s="399">
        <f>O541/5</f>
        <v>200.26846</v>
      </c>
      <c r="M541" s="396">
        <v>20</v>
      </c>
      <c r="N541" s="401">
        <v>39448</v>
      </c>
      <c r="O541" s="399">
        <v>1001.3423</v>
      </c>
      <c r="P541" s="884" t="s">
        <v>1732</v>
      </c>
      <c r="Q541" s="1089">
        <f>296.0891+349.521+367.38452+392.657</f>
        <v>1405.6516199999999</v>
      </c>
      <c r="R541" s="399"/>
      <c r="S541" s="399"/>
      <c r="T541" s="876">
        <v>39903</v>
      </c>
      <c r="U541" s="397">
        <v>40908</v>
      </c>
      <c r="V541" s="399">
        <v>761.07384000000002</v>
      </c>
      <c r="W541" s="400">
        <f>Q541/V541</f>
        <v>1.8469319875716657</v>
      </c>
      <c r="X541" s="393" t="s">
        <v>728</v>
      </c>
      <c r="Y541" s="391" t="s">
        <v>1476</v>
      </c>
      <c r="Z541" s="287" t="s">
        <v>19</v>
      </c>
      <c r="AA541" s="909">
        <v>39448</v>
      </c>
      <c r="AB541" s="986">
        <v>39653</v>
      </c>
      <c r="AC541" s="879">
        <v>39806</v>
      </c>
      <c r="AD541" s="397"/>
      <c r="AE541" s="397">
        <v>39812</v>
      </c>
      <c r="AF541" s="397"/>
      <c r="AG541" s="396"/>
      <c r="AH541" s="396">
        <v>0</v>
      </c>
      <c r="AI541" s="399"/>
      <c r="AJ541" s="396"/>
      <c r="AK541" s="396"/>
      <c r="AL541" s="396"/>
      <c r="AM541" s="396"/>
      <c r="AN541" s="396">
        <v>0</v>
      </c>
      <c r="AO541" s="391" t="s">
        <v>1046</v>
      </c>
      <c r="AP541" s="463"/>
      <c r="AQ541" s="51"/>
    </row>
    <row r="542" spans="1:43" s="464" customFormat="1" ht="15.75" customHeight="1">
      <c r="A542" s="51" t="s">
        <v>1742</v>
      </c>
      <c r="B542" s="63" t="s">
        <v>476</v>
      </c>
      <c r="C542" s="391" t="s">
        <v>27</v>
      </c>
      <c r="D542" s="392" t="s">
        <v>707</v>
      </c>
      <c r="E542" s="391" t="s">
        <v>229</v>
      </c>
      <c r="F542" s="391">
        <v>1</v>
      </c>
      <c r="G542" s="452" t="s">
        <v>2842</v>
      </c>
      <c r="H542" s="404" t="s">
        <v>968</v>
      </c>
      <c r="I542" s="404" t="s">
        <v>1576</v>
      </c>
      <c r="J542" s="905" t="s">
        <v>1577</v>
      </c>
      <c r="K542" s="404" t="s">
        <v>1578</v>
      </c>
      <c r="L542" s="399">
        <f>O542/5</f>
        <v>1698.2580000000003</v>
      </c>
      <c r="M542" s="396">
        <v>250</v>
      </c>
      <c r="N542" s="401">
        <v>39448</v>
      </c>
      <c r="O542" s="399">
        <v>8491.2900000000009</v>
      </c>
      <c r="P542" s="884" t="s">
        <v>728</v>
      </c>
      <c r="Q542" s="1089"/>
      <c r="R542" s="399"/>
      <c r="S542" s="399"/>
      <c r="T542" s="876"/>
      <c r="U542" s="397"/>
      <c r="V542" s="399"/>
      <c r="W542" s="400"/>
      <c r="X542" s="393"/>
      <c r="Y542" s="391" t="s">
        <v>1575</v>
      </c>
      <c r="Z542" s="287" t="s">
        <v>1579</v>
      </c>
      <c r="AA542" s="909">
        <v>39276</v>
      </c>
      <c r="AB542" s="986"/>
      <c r="AC542" s="879">
        <v>39541</v>
      </c>
      <c r="AD542" s="397">
        <v>39489</v>
      </c>
      <c r="AE542" s="397">
        <v>39813</v>
      </c>
      <c r="AF542" s="397"/>
      <c r="AG542" s="396"/>
      <c r="AH542" s="396">
        <v>300</v>
      </c>
      <c r="AI542" s="399">
        <f>2484600/AH542</f>
        <v>8282</v>
      </c>
      <c r="AJ542" s="396"/>
      <c r="AK542" s="396"/>
      <c r="AL542" s="396"/>
      <c r="AM542" s="396"/>
      <c r="AN542" s="396"/>
      <c r="AO542" s="391" t="s">
        <v>1580</v>
      </c>
      <c r="AP542" s="463"/>
      <c r="AQ542" s="51"/>
    </row>
    <row r="543" spans="1:43" s="464" customFormat="1" ht="27.75" customHeight="1">
      <c r="A543" s="459" t="s">
        <v>1100</v>
      </c>
      <c r="B543" s="63" t="s">
        <v>1568</v>
      </c>
      <c r="C543" s="405" t="s">
        <v>664</v>
      </c>
      <c r="D543" s="392" t="s">
        <v>707</v>
      </c>
      <c r="E543" s="391" t="s">
        <v>229</v>
      </c>
      <c r="F543" s="391">
        <v>1</v>
      </c>
      <c r="G543" s="445" t="s">
        <v>3948</v>
      </c>
      <c r="H543" s="404" t="s">
        <v>968</v>
      </c>
      <c r="I543" s="394" t="s">
        <v>845</v>
      </c>
      <c r="J543" s="391" t="s">
        <v>346</v>
      </c>
      <c r="K543" s="448" t="s">
        <v>2001</v>
      </c>
      <c r="L543" s="399">
        <v>61.625999999999998</v>
      </c>
      <c r="M543" s="396">
        <v>0</v>
      </c>
      <c r="N543" s="401">
        <v>39448</v>
      </c>
      <c r="O543" s="399">
        <f>L543*5</f>
        <v>308.13</v>
      </c>
      <c r="P543" s="884" t="s">
        <v>1732</v>
      </c>
      <c r="Q543" s="1089">
        <f>31.052+33.034+63.652</f>
        <v>127.738</v>
      </c>
      <c r="R543" s="399"/>
      <c r="S543" s="399"/>
      <c r="T543" s="876">
        <v>40224</v>
      </c>
      <c r="U543" s="397">
        <v>41090</v>
      </c>
      <c r="V543" s="399">
        <v>277.23258082191785</v>
      </c>
      <c r="W543" s="400">
        <f t="shared" ref="W543:W567" si="28">Q543/V543</f>
        <v>0.46076114005537228</v>
      </c>
      <c r="X543" s="393" t="s">
        <v>728</v>
      </c>
      <c r="Y543" s="391" t="s">
        <v>1569</v>
      </c>
      <c r="Z543" s="391" t="s">
        <v>665</v>
      </c>
      <c r="AA543" s="1006">
        <v>39387</v>
      </c>
      <c r="AB543" s="986">
        <v>39896</v>
      </c>
      <c r="AC543" s="879">
        <v>39806</v>
      </c>
      <c r="AD543" s="397"/>
      <c r="AE543" s="397">
        <v>39896</v>
      </c>
      <c r="AF543" s="397"/>
      <c r="AG543" s="396"/>
      <c r="AH543" s="396">
        <v>0</v>
      </c>
      <c r="AI543" s="399"/>
      <c r="AJ543" s="399"/>
      <c r="AK543" s="399"/>
      <c r="AL543" s="399"/>
      <c r="AM543" s="396"/>
      <c r="AN543" s="399"/>
      <c r="AO543" s="391"/>
      <c r="AP543" s="463"/>
      <c r="AQ543" s="51"/>
    </row>
    <row r="544" spans="1:43" s="464" customFormat="1" ht="12.75" customHeight="1">
      <c r="A544" s="459" t="s">
        <v>1611</v>
      </c>
      <c r="B544" s="59" t="s">
        <v>1610</v>
      </c>
      <c r="C544" s="405" t="s">
        <v>1629</v>
      </c>
      <c r="D544" s="392" t="s">
        <v>707</v>
      </c>
      <c r="E544" s="970" t="s">
        <v>1631</v>
      </c>
      <c r="F544" s="391">
        <v>1</v>
      </c>
      <c r="G544" s="445" t="s">
        <v>3836</v>
      </c>
      <c r="H544" s="404" t="s">
        <v>968</v>
      </c>
      <c r="I544" s="861" t="s">
        <v>1467</v>
      </c>
      <c r="J544" s="419" t="s">
        <v>1136</v>
      </c>
      <c r="K544" s="404" t="s">
        <v>1632</v>
      </c>
      <c r="L544" s="399">
        <f>O544/5</f>
        <v>65.69962000000001</v>
      </c>
      <c r="M544" s="396">
        <v>5</v>
      </c>
      <c r="N544" s="401">
        <v>39448</v>
      </c>
      <c r="O544" s="399">
        <v>328.49810000000002</v>
      </c>
      <c r="P544" s="884" t="s">
        <v>1732</v>
      </c>
      <c r="Q544" s="1089">
        <f>52.8744+75.221+108.38698+109.423</f>
        <v>345.90538000000004</v>
      </c>
      <c r="R544" s="399"/>
      <c r="S544" s="399"/>
      <c r="T544" s="876">
        <v>40014</v>
      </c>
      <c r="U544" s="397">
        <v>40908</v>
      </c>
      <c r="V544" s="399">
        <v>252.79848000000004</v>
      </c>
      <c r="W544" s="400">
        <f t="shared" si="28"/>
        <v>1.3683048252505314</v>
      </c>
      <c r="X544" s="393" t="s">
        <v>728</v>
      </c>
      <c r="Y544" s="391" t="s">
        <v>1630</v>
      </c>
      <c r="Z544" s="452" t="s">
        <v>1091</v>
      </c>
      <c r="AA544" s="496">
        <v>39360</v>
      </c>
      <c r="AB544" s="986">
        <v>40015</v>
      </c>
      <c r="AC544" s="879"/>
      <c r="AD544" s="397"/>
      <c r="AE544" s="397"/>
      <c r="AF544" s="397"/>
      <c r="AG544" s="396"/>
      <c r="AH544" s="396">
        <v>0</v>
      </c>
      <c r="AI544" s="399"/>
      <c r="AJ544" s="736"/>
      <c r="AK544" s="396"/>
      <c r="AL544" s="396"/>
      <c r="AM544" s="396"/>
      <c r="AN544" s="396"/>
      <c r="AO544" s="391" t="s">
        <v>1635</v>
      </c>
      <c r="AP544" s="514"/>
      <c r="AQ544" s="51"/>
    </row>
    <row r="545" spans="1:43" s="464" customFormat="1" ht="14.25" customHeight="1">
      <c r="A545" s="459" t="s">
        <v>55</v>
      </c>
      <c r="B545" s="246" t="s">
        <v>198</v>
      </c>
      <c r="C545" s="391" t="s">
        <v>199</v>
      </c>
      <c r="D545" s="392" t="s">
        <v>707</v>
      </c>
      <c r="E545" s="391" t="s">
        <v>1113</v>
      </c>
      <c r="F545" s="391">
        <v>1</v>
      </c>
      <c r="G545" s="391"/>
      <c r="H545" s="404" t="s">
        <v>968</v>
      </c>
      <c r="I545" s="394" t="s">
        <v>911</v>
      </c>
      <c r="J545" s="391" t="s">
        <v>973</v>
      </c>
      <c r="K545" s="404" t="s">
        <v>1114</v>
      </c>
      <c r="L545" s="399">
        <v>168.70099999999999</v>
      </c>
      <c r="M545" s="396">
        <v>30</v>
      </c>
      <c r="N545" s="401">
        <v>39630</v>
      </c>
      <c r="O545" s="399">
        <v>777.37699999999995</v>
      </c>
      <c r="P545" s="884" t="s">
        <v>728</v>
      </c>
      <c r="Q545" s="1089">
        <f>62.698+136.515+129.522+142.587+149.522</f>
        <v>620.84400000000005</v>
      </c>
      <c r="R545" s="399"/>
      <c r="S545" s="399"/>
      <c r="T545" s="876">
        <v>40168</v>
      </c>
      <c r="U545" s="397">
        <v>40908</v>
      </c>
      <c r="V545" s="399">
        <v>511.97572129855513</v>
      </c>
      <c r="W545" s="400">
        <f t="shared" si="28"/>
        <v>1.2126434402500879</v>
      </c>
      <c r="X545" s="393" t="s">
        <v>728</v>
      </c>
      <c r="Y545" s="391" t="s">
        <v>1107</v>
      </c>
      <c r="Z545" s="391" t="s">
        <v>202</v>
      </c>
      <c r="AA545" s="418">
        <v>40168</v>
      </c>
      <c r="AB545" s="986"/>
      <c r="AC545" s="879">
        <v>40100</v>
      </c>
      <c r="AD545" s="397"/>
      <c r="AE545" s="397"/>
      <c r="AF545" s="397"/>
      <c r="AG545" s="396"/>
      <c r="AH545" s="396"/>
      <c r="AI545" s="399"/>
      <c r="AJ545" s="396"/>
      <c r="AK545" s="396"/>
      <c r="AL545" s="399"/>
      <c r="AM545" s="396"/>
      <c r="AN545" s="396"/>
      <c r="AO545" s="391"/>
      <c r="AP545" s="514"/>
      <c r="AQ545" s="51"/>
    </row>
    <row r="546" spans="1:43" s="464" customFormat="1" ht="15" customHeight="1">
      <c r="A546" s="459" t="s">
        <v>1434</v>
      </c>
      <c r="B546" s="246" t="s">
        <v>805</v>
      </c>
      <c r="C546" s="391" t="s">
        <v>1448</v>
      </c>
      <c r="D546" s="392" t="s">
        <v>707</v>
      </c>
      <c r="E546" s="391" t="s">
        <v>822</v>
      </c>
      <c r="F546" s="391">
        <v>1</v>
      </c>
      <c r="G546" s="391"/>
      <c r="H546" s="404" t="s">
        <v>968</v>
      </c>
      <c r="I546" s="862" t="s">
        <v>1548</v>
      </c>
      <c r="J546" s="391" t="s">
        <v>823</v>
      </c>
      <c r="K546" s="404" t="s">
        <v>746</v>
      </c>
      <c r="L546" s="399">
        <v>398</v>
      </c>
      <c r="M546" s="396">
        <v>48</v>
      </c>
      <c r="N546" s="401">
        <v>39448</v>
      </c>
      <c r="O546" s="399">
        <v>1990</v>
      </c>
      <c r="P546" s="884" t="s">
        <v>728</v>
      </c>
      <c r="Q546" s="1087">
        <f>242.297+320.63524+297.0475+154.102+111.504+137.882+298.126+456.321+98.836</f>
        <v>2116.75074</v>
      </c>
      <c r="R546" s="425"/>
      <c r="S546" s="425"/>
      <c r="T546" s="876">
        <v>40172</v>
      </c>
      <c r="U546" s="397">
        <v>41274</v>
      </c>
      <c r="V546" s="399">
        <v>1991.4193582285609</v>
      </c>
      <c r="W546" s="400">
        <f t="shared" si="28"/>
        <v>1.0629357052564388</v>
      </c>
      <c r="X546" s="951" t="s">
        <v>728</v>
      </c>
      <c r="Y546" s="452" t="s">
        <v>39</v>
      </c>
      <c r="Z546" s="377" t="s">
        <v>824</v>
      </c>
      <c r="AA546" s="418">
        <v>40196</v>
      </c>
      <c r="AB546" s="986"/>
      <c r="AC546" s="879">
        <v>40122</v>
      </c>
      <c r="AD546" s="397">
        <v>40157</v>
      </c>
      <c r="AE546" s="397"/>
      <c r="AF546" s="397"/>
      <c r="AG546" s="396"/>
      <c r="AH546" s="396">
        <v>0</v>
      </c>
      <c r="AI546" s="399"/>
      <c r="AJ546" s="1010"/>
      <c r="AK546" s="396"/>
      <c r="AL546" s="399"/>
      <c r="AM546" s="396"/>
      <c r="AN546" s="396"/>
      <c r="AO546" s="391"/>
      <c r="AP546" s="791">
        <v>2010</v>
      </c>
      <c r="AQ546" s="784" t="s">
        <v>2825</v>
      </c>
    </row>
    <row r="547" spans="1:43" s="464" customFormat="1" ht="15.75" customHeight="1">
      <c r="A547" s="459" t="s">
        <v>1744</v>
      </c>
      <c r="B547" s="756" t="s">
        <v>1753</v>
      </c>
      <c r="C547" s="419" t="s">
        <v>1763</v>
      </c>
      <c r="D547" s="420" t="s">
        <v>707</v>
      </c>
      <c r="E547" s="419" t="s">
        <v>1765</v>
      </c>
      <c r="F547" s="419">
        <v>1</v>
      </c>
      <c r="G547" s="419"/>
      <c r="H547" s="404" t="s">
        <v>968</v>
      </c>
      <c r="I547" s="724" t="s">
        <v>1576</v>
      </c>
      <c r="J547" s="419" t="s">
        <v>1614</v>
      </c>
      <c r="K547" s="448" t="s">
        <v>1766</v>
      </c>
      <c r="L547" s="425">
        <v>220.76920000000001</v>
      </c>
      <c r="M547" s="423">
        <v>30</v>
      </c>
      <c r="N547" s="401">
        <v>39448</v>
      </c>
      <c r="O547" s="399">
        <f>L547*5</f>
        <v>1103.846</v>
      </c>
      <c r="P547" s="884" t="s">
        <v>728</v>
      </c>
      <c r="Q547" s="1087">
        <f>134.542+190.644+163.792+198.775+162.991+63.05</f>
        <v>913.79399999999998</v>
      </c>
      <c r="R547" s="425"/>
      <c r="S547" s="425"/>
      <c r="T547" s="733">
        <v>40252</v>
      </c>
      <c r="U547" s="444">
        <v>41274</v>
      </c>
      <c r="V547" s="425">
        <v>1104.656439166823</v>
      </c>
      <c r="W547" s="400">
        <f t="shared" si="28"/>
        <v>0.82722009088112569</v>
      </c>
      <c r="X547" s="393" t="s">
        <v>728</v>
      </c>
      <c r="Y547" s="429" t="s">
        <v>1764</v>
      </c>
      <c r="Z547" s="429" t="s">
        <v>715</v>
      </c>
      <c r="AA547" s="479">
        <v>40211</v>
      </c>
      <c r="AB547" s="550"/>
      <c r="AC547" s="881">
        <v>40176</v>
      </c>
      <c r="AD547" s="444">
        <v>40169</v>
      </c>
      <c r="AE547" s="444"/>
      <c r="AF547" s="444"/>
      <c r="AG547" s="423"/>
      <c r="AH547" s="423">
        <v>9.1300000000000008</v>
      </c>
      <c r="AI547" s="912"/>
      <c r="AJ547" s="551">
        <v>40</v>
      </c>
      <c r="AK547" s="396">
        <f>AJ547*1000/L547</f>
        <v>181.18469424176922</v>
      </c>
      <c r="AL547" s="425"/>
      <c r="AM547" s="423"/>
      <c r="AN547" s="423"/>
      <c r="AO547" s="419"/>
      <c r="AP547" s="514"/>
      <c r="AQ547" s="782"/>
    </row>
    <row r="548" spans="1:43" s="464" customFormat="1" ht="27" customHeight="1">
      <c r="A548" s="459" t="s">
        <v>1749</v>
      </c>
      <c r="B548" s="993" t="s">
        <v>1755</v>
      </c>
      <c r="C548" s="429" t="s">
        <v>1756</v>
      </c>
      <c r="D548" s="420" t="s">
        <v>707</v>
      </c>
      <c r="E548" s="419" t="s">
        <v>130</v>
      </c>
      <c r="F548" s="419">
        <v>1</v>
      </c>
      <c r="G548" s="419"/>
      <c r="H548" s="404" t="s">
        <v>968</v>
      </c>
      <c r="I548" s="862" t="s">
        <v>1467</v>
      </c>
      <c r="J548" s="391" t="s">
        <v>1136</v>
      </c>
      <c r="K548" s="448" t="s">
        <v>1767</v>
      </c>
      <c r="L548" s="425">
        <f>O548/5</f>
        <v>43.347059999999999</v>
      </c>
      <c r="M548" s="423">
        <v>3</v>
      </c>
      <c r="N548" s="401">
        <v>39448</v>
      </c>
      <c r="O548" s="425">
        <f>216.7353</f>
        <v>216.7353</v>
      </c>
      <c r="P548" s="884" t="s">
        <v>728</v>
      </c>
      <c r="Q548" s="1087">
        <f>45.248+55.388+177.98539</f>
        <v>278.62139000000002</v>
      </c>
      <c r="R548" s="425"/>
      <c r="S548" s="425"/>
      <c r="T548" s="733">
        <v>40169</v>
      </c>
      <c r="U548" s="444">
        <v>40543</v>
      </c>
      <c r="V548" s="425">
        <v>121.04118</v>
      </c>
      <c r="W548" s="400">
        <f t="shared" si="28"/>
        <v>2.3018727180286911</v>
      </c>
      <c r="X548" s="393" t="s">
        <v>728</v>
      </c>
      <c r="Y548" s="391" t="s">
        <v>1630</v>
      </c>
      <c r="Z548" s="405" t="s">
        <v>1091</v>
      </c>
      <c r="AA548" s="479">
        <v>40226</v>
      </c>
      <c r="AB548" s="550"/>
      <c r="AC548" s="881">
        <v>40161</v>
      </c>
      <c r="AD548" s="444">
        <v>40156</v>
      </c>
      <c r="AE548" s="444"/>
      <c r="AF548" s="444"/>
      <c r="AG548" s="423"/>
      <c r="AH548" s="423">
        <v>0</v>
      </c>
      <c r="AI548" s="425"/>
      <c r="AJ548" s="551">
        <f>14.4/Exch!B11</f>
        <v>17.054474359782137</v>
      </c>
      <c r="AK548" s="396">
        <f>AJ548*1000/L548</f>
        <v>393.44016318020499</v>
      </c>
      <c r="AL548" s="425"/>
      <c r="AM548" s="423"/>
      <c r="AN548" s="423"/>
      <c r="AO548" s="419"/>
      <c r="AP548" s="514"/>
      <c r="AQ548" s="51"/>
    </row>
    <row r="549" spans="1:43" s="464" customFormat="1" ht="15" customHeight="1">
      <c r="A549" s="459" t="s">
        <v>1816</v>
      </c>
      <c r="B549" s="59" t="s">
        <v>1815</v>
      </c>
      <c r="C549" s="445" t="s">
        <v>1818</v>
      </c>
      <c r="D549" s="449" t="s">
        <v>707</v>
      </c>
      <c r="E549" s="419" t="s">
        <v>1831</v>
      </c>
      <c r="F549" s="419">
        <v>1</v>
      </c>
      <c r="G549" s="419"/>
      <c r="H549" s="421" t="s">
        <v>968</v>
      </c>
      <c r="I549" s="455" t="s">
        <v>256</v>
      </c>
      <c r="J549" s="419" t="s">
        <v>1830</v>
      </c>
      <c r="K549" s="448" t="s">
        <v>882</v>
      </c>
      <c r="L549" s="425">
        <f>O549/5</f>
        <v>99.251199999999997</v>
      </c>
      <c r="M549" s="423">
        <v>0</v>
      </c>
      <c r="N549" s="431">
        <v>39448</v>
      </c>
      <c r="O549" s="425">
        <v>496.25599999999997</v>
      </c>
      <c r="P549" s="548" t="s">
        <v>728</v>
      </c>
      <c r="Q549" s="1087">
        <f>115.577+61.866+87.124+38.847</f>
        <v>303.41399999999999</v>
      </c>
      <c r="R549" s="425"/>
      <c r="S549" s="425"/>
      <c r="T549" s="733">
        <v>40284</v>
      </c>
      <c r="U549" s="444">
        <v>40543</v>
      </c>
      <c r="V549" s="425">
        <v>297.75360000000001</v>
      </c>
      <c r="W549" s="400">
        <f t="shared" si="28"/>
        <v>1.0190103494970337</v>
      </c>
      <c r="X549" s="393" t="s">
        <v>728</v>
      </c>
      <c r="Y549" s="419" t="s">
        <v>1839</v>
      </c>
      <c r="Z549" s="419" t="s">
        <v>1832</v>
      </c>
      <c r="AA549" s="444">
        <v>40298</v>
      </c>
      <c r="AB549" s="733"/>
      <c r="AC549" s="881">
        <v>40242</v>
      </c>
      <c r="AD549" s="444"/>
      <c r="AE549" s="444"/>
      <c r="AF549" s="444"/>
      <c r="AG549" s="423"/>
      <c r="AH549" s="423">
        <v>0</v>
      </c>
      <c r="AI549" s="423"/>
      <c r="AJ549" s="423">
        <f>7.327923/Exch!B11</f>
        <v>8.6787413134692919</v>
      </c>
      <c r="AK549" s="423">
        <f>AJ549*1000/L549</f>
        <v>87.44218017987987</v>
      </c>
      <c r="AL549" s="423"/>
      <c r="AM549" s="423"/>
      <c r="AN549" s="423"/>
      <c r="AO549" s="419"/>
      <c r="AP549" s="463"/>
      <c r="AQ549" s="51"/>
    </row>
    <row r="550" spans="1:43" s="464" customFormat="1" ht="28.5" customHeight="1">
      <c r="A550" s="491" t="s">
        <v>1899</v>
      </c>
      <c r="B550" s="499" t="s">
        <v>1906</v>
      </c>
      <c r="C550" s="445" t="s">
        <v>1910</v>
      </c>
      <c r="D550" s="449" t="s">
        <v>707</v>
      </c>
      <c r="E550" s="445" t="s">
        <v>1043</v>
      </c>
      <c r="F550" s="419">
        <v>1</v>
      </c>
      <c r="G550" s="419"/>
      <c r="H550" s="448" t="s">
        <v>968</v>
      </c>
      <c r="I550" s="724" t="s">
        <v>1735</v>
      </c>
      <c r="J550" s="445" t="s">
        <v>1946</v>
      </c>
      <c r="K550" s="455" t="s">
        <v>1947</v>
      </c>
      <c r="L550" s="795">
        <f>O550/5</f>
        <v>61.432600000000001</v>
      </c>
      <c r="M550" s="505">
        <v>10</v>
      </c>
      <c r="N550" s="805">
        <v>39448</v>
      </c>
      <c r="O550" s="795">
        <v>307.16300000000001</v>
      </c>
      <c r="P550" s="493" t="s">
        <v>728</v>
      </c>
      <c r="Q550" s="1090">
        <f>49.658+28.016+23.62</f>
        <v>101.29400000000001</v>
      </c>
      <c r="R550" s="478"/>
      <c r="S550" s="478"/>
      <c r="T550" s="848">
        <v>40360</v>
      </c>
      <c r="U550" s="479">
        <v>40543</v>
      </c>
      <c r="V550" s="425">
        <v>154.2978</v>
      </c>
      <c r="W550" s="400">
        <f t="shared" si="28"/>
        <v>0.65648376062393643</v>
      </c>
      <c r="X550" s="450" t="s">
        <v>728</v>
      </c>
      <c r="Y550" s="445" t="s">
        <v>1945</v>
      </c>
      <c r="Z550" s="445" t="s">
        <v>1948</v>
      </c>
      <c r="AA550" s="444">
        <v>40336</v>
      </c>
      <c r="AB550" s="848"/>
      <c r="AC550" s="880">
        <v>40151</v>
      </c>
      <c r="AD550" s="479"/>
      <c r="AE550" s="479"/>
      <c r="AF550" s="479"/>
      <c r="AG550" s="480"/>
      <c r="AH550" s="505"/>
      <c r="AI550" s="478"/>
      <c r="AJ550" s="505"/>
      <c r="AK550" s="423"/>
      <c r="AL550" s="425"/>
      <c r="AM550" s="480"/>
      <c r="AN550" s="480"/>
      <c r="AO550" s="480"/>
      <c r="AP550" s="787"/>
      <c r="AQ550" s="51"/>
    </row>
    <row r="551" spans="1:43" s="464" customFormat="1" ht="12.75" customHeight="1">
      <c r="A551" s="465" t="s">
        <v>1900</v>
      </c>
      <c r="B551" s="499" t="s">
        <v>1907</v>
      </c>
      <c r="C551" s="445" t="s">
        <v>1911</v>
      </c>
      <c r="D551" s="449" t="s">
        <v>707</v>
      </c>
      <c r="E551" s="445" t="s">
        <v>229</v>
      </c>
      <c r="F551" s="419">
        <v>1</v>
      </c>
      <c r="G551" s="419"/>
      <c r="H551" s="448" t="s">
        <v>968</v>
      </c>
      <c r="I551" s="455" t="s">
        <v>1467</v>
      </c>
      <c r="J551" s="449" t="s">
        <v>1136</v>
      </c>
      <c r="K551" s="455"/>
      <c r="L551" s="795">
        <f>O551/5</f>
        <v>80.259119999999996</v>
      </c>
      <c r="M551" s="505">
        <v>30</v>
      </c>
      <c r="N551" s="805">
        <v>39448</v>
      </c>
      <c r="O551" s="795">
        <v>401.29559999999998</v>
      </c>
      <c r="P551" s="493" t="s">
        <v>728</v>
      </c>
      <c r="Q551" s="1087">
        <f>79.311+68.576+63.945</f>
        <v>211.83199999999999</v>
      </c>
      <c r="R551" s="425"/>
      <c r="S551" s="425"/>
      <c r="T551" s="733">
        <v>40344</v>
      </c>
      <c r="U551" s="444">
        <v>40908</v>
      </c>
      <c r="V551" s="425">
        <v>261.03647999999998</v>
      </c>
      <c r="W551" s="400">
        <f t="shared" si="28"/>
        <v>0.81150343430925831</v>
      </c>
      <c r="X551" s="450" t="s">
        <v>728</v>
      </c>
      <c r="Y551" s="445" t="s">
        <v>1090</v>
      </c>
      <c r="Z551" s="532" t="s">
        <v>1949</v>
      </c>
      <c r="AA551" s="444">
        <v>40336</v>
      </c>
      <c r="AB551" s="848"/>
      <c r="AC551" s="880">
        <v>40284</v>
      </c>
      <c r="AD551" s="479"/>
      <c r="AE551" s="479"/>
      <c r="AF551" s="479"/>
      <c r="AG551" s="480"/>
      <c r="AH551" s="505"/>
      <c r="AI551" s="478"/>
      <c r="AJ551" s="505"/>
      <c r="AK551" s="423"/>
      <c r="AL551" s="425"/>
      <c r="AM551" s="480"/>
      <c r="AN551" s="480"/>
      <c r="AO551" s="480"/>
      <c r="AP551" s="787"/>
      <c r="AQ551" s="51"/>
    </row>
    <row r="552" spans="1:43" s="464" customFormat="1" ht="29.25" customHeight="1">
      <c r="A552" s="465" t="s">
        <v>1931</v>
      </c>
      <c r="B552" s="499" t="s">
        <v>1950</v>
      </c>
      <c r="C552" s="419" t="s">
        <v>1932</v>
      </c>
      <c r="D552" s="420" t="s">
        <v>707</v>
      </c>
      <c r="E552" s="445" t="s">
        <v>822</v>
      </c>
      <c r="F552" s="419">
        <v>1</v>
      </c>
      <c r="G552" s="419"/>
      <c r="H552" s="421" t="s">
        <v>968</v>
      </c>
      <c r="I552" s="471" t="s">
        <v>1548</v>
      </c>
      <c r="J552" s="419" t="s">
        <v>235</v>
      </c>
      <c r="K552" s="448" t="s">
        <v>746</v>
      </c>
      <c r="L552" s="425">
        <v>664.39</v>
      </c>
      <c r="M552" s="423">
        <v>0</v>
      </c>
      <c r="N552" s="805">
        <v>39448</v>
      </c>
      <c r="O552" s="425">
        <f>L552*5</f>
        <v>3321.95</v>
      </c>
      <c r="P552" s="493" t="s">
        <v>728</v>
      </c>
      <c r="Q552" s="1087">
        <f>565.76504+610.92611+467.89566+211.779+153.239+158.407+316.813+470.055+105.031</f>
        <v>3059.9108100000003</v>
      </c>
      <c r="R552" s="425"/>
      <c r="S552" s="425"/>
      <c r="T552" s="733">
        <v>40339</v>
      </c>
      <c r="U552" s="865">
        <v>41274</v>
      </c>
      <c r="V552" s="425">
        <v>3323.7702465753423</v>
      </c>
      <c r="W552" s="400">
        <f t="shared" si="28"/>
        <v>0.92061441766403362</v>
      </c>
      <c r="X552" s="450" t="s">
        <v>728</v>
      </c>
      <c r="Y552" s="445" t="s">
        <v>39</v>
      </c>
      <c r="Z552" s="445" t="s">
        <v>824</v>
      </c>
      <c r="AA552" s="496">
        <v>40351</v>
      </c>
      <c r="AB552" s="550"/>
      <c r="AC552" s="881">
        <v>40336</v>
      </c>
      <c r="AD552" s="444">
        <v>40651</v>
      </c>
      <c r="AE552" s="444"/>
      <c r="AF552" s="444"/>
      <c r="AG552" s="423"/>
      <c r="AH552" s="423">
        <v>0</v>
      </c>
      <c r="AI552" s="425"/>
      <c r="AJ552" s="423"/>
      <c r="AK552" s="423"/>
      <c r="AL552" s="423"/>
      <c r="AM552" s="423"/>
      <c r="AN552" s="423"/>
      <c r="AO552" s="419"/>
      <c r="AP552" s="910">
        <f>2308/2</f>
        <v>1154</v>
      </c>
      <c r="AQ552" s="784" t="s">
        <v>2828</v>
      </c>
    </row>
    <row r="553" spans="1:43" s="464" customFormat="1" ht="29.25" customHeight="1">
      <c r="A553" s="491" t="s">
        <v>1990</v>
      </c>
      <c r="B553" s="499" t="s">
        <v>1984</v>
      </c>
      <c r="C553" s="445" t="s">
        <v>2512</v>
      </c>
      <c r="D553" s="449" t="s">
        <v>707</v>
      </c>
      <c r="E553" s="419" t="s">
        <v>1998</v>
      </c>
      <c r="F553" s="419">
        <v>1</v>
      </c>
      <c r="G553" s="419"/>
      <c r="H553" s="421" t="s">
        <v>968</v>
      </c>
      <c r="I553" s="455" t="s">
        <v>1548</v>
      </c>
      <c r="J553" s="420" t="s">
        <v>823</v>
      </c>
      <c r="K553" s="448" t="s">
        <v>746</v>
      </c>
      <c r="L553" s="425">
        <v>1126.9659999999999</v>
      </c>
      <c r="M553" s="423">
        <v>0</v>
      </c>
      <c r="N553" s="805">
        <v>39448</v>
      </c>
      <c r="O553" s="889">
        <f>L553*5</f>
        <v>5634.83</v>
      </c>
      <c r="P553" s="890" t="s">
        <v>728</v>
      </c>
      <c r="Q553" s="1087">
        <f>1123.33841+1123.42394+840.26572+652.514+283.166+652.515+566.333+375.503</f>
        <v>5617.0590699999993</v>
      </c>
      <c r="R553" s="425"/>
      <c r="S553" s="425"/>
      <c r="T553" s="733">
        <v>40393</v>
      </c>
      <c r="U553" s="865">
        <v>41274</v>
      </c>
      <c r="V553" s="425">
        <v>5637.9175780821915</v>
      </c>
      <c r="W553" s="400">
        <f t="shared" si="28"/>
        <v>0.99630031695332311</v>
      </c>
      <c r="X553" s="450" t="s">
        <v>728</v>
      </c>
      <c r="Y553" s="445" t="s">
        <v>2112</v>
      </c>
      <c r="Z553" s="419" t="s">
        <v>2533</v>
      </c>
      <c r="AA553" s="496">
        <v>40401</v>
      </c>
      <c r="AB553" s="550"/>
      <c r="AC553" s="881">
        <v>40387</v>
      </c>
      <c r="AD553" s="444">
        <v>40367</v>
      </c>
      <c r="AE553" s="444"/>
      <c r="AF553" s="444"/>
      <c r="AG553" s="423"/>
      <c r="AH553" s="423"/>
      <c r="AI553" s="425"/>
      <c r="AJ553" s="423"/>
      <c r="AK553" s="423"/>
      <c r="AL553" s="423"/>
      <c r="AM553" s="423"/>
      <c r="AN553" s="423"/>
      <c r="AO553" s="419"/>
      <c r="AP553" s="463"/>
      <c r="AQ553" s="51"/>
    </row>
    <row r="554" spans="1:43" s="464" customFormat="1" ht="12.75" customHeight="1">
      <c r="A554" s="491" t="s">
        <v>2023</v>
      </c>
      <c r="B554" s="499" t="s">
        <v>2015</v>
      </c>
      <c r="C554" s="445" t="s">
        <v>2019</v>
      </c>
      <c r="D554" s="449" t="s">
        <v>707</v>
      </c>
      <c r="E554" s="419" t="s">
        <v>1043</v>
      </c>
      <c r="F554" s="419">
        <v>1</v>
      </c>
      <c r="G554" s="445" t="s">
        <v>3621</v>
      </c>
      <c r="H554" s="421" t="s">
        <v>968</v>
      </c>
      <c r="I554" s="455" t="s">
        <v>911</v>
      </c>
      <c r="J554" s="419" t="s">
        <v>1577</v>
      </c>
      <c r="K554" s="448" t="s">
        <v>680</v>
      </c>
      <c r="L554" s="425">
        <v>391.334</v>
      </c>
      <c r="M554" s="423">
        <v>86.5</v>
      </c>
      <c r="N554" s="431">
        <v>39539</v>
      </c>
      <c r="O554" s="425">
        <v>1956.6679999999999</v>
      </c>
      <c r="P554" s="548" t="s">
        <v>728</v>
      </c>
      <c r="Q554" s="1087">
        <f>707.617+301.043+143.885+417.74</f>
        <v>1570.2850000000001</v>
      </c>
      <c r="R554" s="425"/>
      <c r="S554" s="425"/>
      <c r="T554" s="733">
        <v>40437</v>
      </c>
      <c r="U554" s="444">
        <v>41121</v>
      </c>
      <c r="V554" s="425">
        <v>1571.3384659035466</v>
      </c>
      <c r="W554" s="400">
        <f t="shared" si="28"/>
        <v>0.99932957416469737</v>
      </c>
      <c r="X554" s="450" t="s">
        <v>728</v>
      </c>
      <c r="Y554" s="445" t="s">
        <v>1615</v>
      </c>
      <c r="Z554" s="445" t="s">
        <v>1616</v>
      </c>
      <c r="AA554" s="496">
        <v>40427</v>
      </c>
      <c r="AB554" s="733">
        <v>40270</v>
      </c>
      <c r="AC554" s="881">
        <v>40409</v>
      </c>
      <c r="AD554" s="444">
        <v>40333</v>
      </c>
      <c r="AE554" s="444"/>
      <c r="AF554" s="444"/>
      <c r="AG554" s="423"/>
      <c r="AH554" s="423">
        <v>0</v>
      </c>
      <c r="AI554" s="425"/>
      <c r="AJ554" s="423"/>
      <c r="AK554" s="423"/>
      <c r="AL554" s="423"/>
      <c r="AM554" s="423"/>
      <c r="AN554" s="423"/>
      <c r="AO554" s="419"/>
      <c r="AP554" s="463"/>
      <c r="AQ554" s="51"/>
    </row>
    <row r="555" spans="1:43" s="464" customFormat="1" ht="30" customHeight="1">
      <c r="A555" s="459" t="s">
        <v>656</v>
      </c>
      <c r="B555" s="468" t="s">
        <v>2035</v>
      </c>
      <c r="C555" s="445" t="s">
        <v>2034</v>
      </c>
      <c r="D555" s="449" t="s">
        <v>707</v>
      </c>
      <c r="E555" s="445" t="s">
        <v>1043</v>
      </c>
      <c r="F555" s="419">
        <v>1</v>
      </c>
      <c r="G555" s="445" t="s">
        <v>3927</v>
      </c>
      <c r="H555" s="421" t="s">
        <v>968</v>
      </c>
      <c r="I555" s="455" t="s">
        <v>1576</v>
      </c>
      <c r="J555" s="507" t="s">
        <v>1614</v>
      </c>
      <c r="K555" s="455" t="s">
        <v>122</v>
      </c>
      <c r="L555" s="425">
        <v>70.802000000000007</v>
      </c>
      <c r="M555" s="423">
        <v>0</v>
      </c>
      <c r="N555" s="431">
        <v>39448</v>
      </c>
      <c r="O555" s="425">
        <v>354.01400000000001</v>
      </c>
      <c r="P555" s="493" t="s">
        <v>1486</v>
      </c>
      <c r="Q555" s="1087">
        <f>114.425+69.222+71.179</f>
        <v>254.82599999999999</v>
      </c>
      <c r="R555" s="425"/>
      <c r="S555" s="425"/>
      <c r="T555" s="733">
        <v>40372</v>
      </c>
      <c r="U555" s="444">
        <v>40908</v>
      </c>
      <c r="V555" s="425">
        <v>283.20800000000003</v>
      </c>
      <c r="W555" s="400">
        <f t="shared" si="28"/>
        <v>0.89978390440947986</v>
      </c>
      <c r="X555" s="450" t="s">
        <v>728</v>
      </c>
      <c r="Y555" s="445" t="s">
        <v>2066</v>
      </c>
      <c r="Z555" s="445" t="s">
        <v>2067</v>
      </c>
      <c r="AA555" s="496">
        <v>40046</v>
      </c>
      <c r="AB555" s="550">
        <v>40438</v>
      </c>
      <c r="AC555" s="881">
        <v>40417</v>
      </c>
      <c r="AD555" s="444">
        <v>40204</v>
      </c>
      <c r="AE555" s="444"/>
      <c r="AF555" s="444"/>
      <c r="AG555" s="423"/>
      <c r="AH555" s="423"/>
      <c r="AI555" s="425"/>
      <c r="AJ555" s="423"/>
      <c r="AK555" s="423"/>
      <c r="AL555" s="423"/>
      <c r="AM555" s="423"/>
      <c r="AN555" s="423"/>
      <c r="AO555" s="419"/>
      <c r="AP555" s="463"/>
      <c r="AQ555" s="51"/>
    </row>
    <row r="556" spans="1:43" s="464" customFormat="1" ht="16.5" customHeight="1">
      <c r="A556" s="459" t="s">
        <v>422</v>
      </c>
      <c r="B556" s="468" t="s">
        <v>2046</v>
      </c>
      <c r="C556" s="419" t="s">
        <v>2047</v>
      </c>
      <c r="D556" s="449" t="s">
        <v>707</v>
      </c>
      <c r="E556" s="480" t="s">
        <v>2048</v>
      </c>
      <c r="F556" s="419">
        <v>1</v>
      </c>
      <c r="G556" s="445" t="s">
        <v>2760</v>
      </c>
      <c r="H556" s="421" t="s">
        <v>968</v>
      </c>
      <c r="I556" s="724" t="s">
        <v>911</v>
      </c>
      <c r="J556" s="513" t="s">
        <v>611</v>
      </c>
      <c r="K556" s="533" t="s">
        <v>2001</v>
      </c>
      <c r="L556" s="425">
        <v>103.76300000000001</v>
      </c>
      <c r="M556" s="505">
        <v>0</v>
      </c>
      <c r="N556" s="805">
        <v>39497</v>
      </c>
      <c r="O556" s="425">
        <v>518.81399999999996</v>
      </c>
      <c r="P556" s="548" t="s">
        <v>1314</v>
      </c>
      <c r="Q556" s="1090">
        <f>149.951+130.1324+98.135+33.719+73.284</f>
        <v>485.22139999999996</v>
      </c>
      <c r="R556" s="478"/>
      <c r="S556" s="478"/>
      <c r="T556" s="733">
        <v>40147</v>
      </c>
      <c r="U556" s="479">
        <v>40968</v>
      </c>
      <c r="V556" s="478">
        <v>418.1791041095891</v>
      </c>
      <c r="W556" s="400">
        <f t="shared" si="28"/>
        <v>1.1603195741527095</v>
      </c>
      <c r="X556" s="421" t="s">
        <v>1314</v>
      </c>
      <c r="Y556" s="445" t="s">
        <v>2142</v>
      </c>
      <c r="Z556" s="480" t="s">
        <v>908</v>
      </c>
      <c r="AA556" s="496">
        <v>39626</v>
      </c>
      <c r="AB556" s="848">
        <v>40448</v>
      </c>
      <c r="AC556" s="880">
        <v>40161</v>
      </c>
      <c r="AD556" s="479">
        <v>40074</v>
      </c>
      <c r="AE556" s="479"/>
      <c r="AF556" s="479"/>
      <c r="AG556" s="480"/>
      <c r="AH556" s="480"/>
      <c r="AI556" s="480"/>
      <c r="AJ556" s="480"/>
      <c r="AK556" s="480"/>
      <c r="AL556" s="480"/>
      <c r="AM556" s="480"/>
      <c r="AN556" s="480"/>
      <c r="AO556" s="480"/>
      <c r="AP556" s="818"/>
      <c r="AQ556" s="51"/>
    </row>
    <row r="557" spans="1:43" s="464" customFormat="1" ht="14.25" customHeight="1">
      <c r="A557" s="491" t="s">
        <v>2124</v>
      </c>
      <c r="B557" s="992" t="s">
        <v>2121</v>
      </c>
      <c r="C557" s="445" t="s">
        <v>2118</v>
      </c>
      <c r="D557" s="449" t="s">
        <v>707</v>
      </c>
      <c r="E557" s="445" t="s">
        <v>822</v>
      </c>
      <c r="F557" s="419">
        <v>1</v>
      </c>
      <c r="G557" s="419"/>
      <c r="H557" s="450" t="s">
        <v>968</v>
      </c>
      <c r="I557" s="455" t="s">
        <v>911</v>
      </c>
      <c r="J557" s="513" t="s">
        <v>2143</v>
      </c>
      <c r="K557" s="724" t="s">
        <v>122</v>
      </c>
      <c r="L557" s="425">
        <v>224.23</v>
      </c>
      <c r="M557" s="505">
        <v>35</v>
      </c>
      <c r="N557" s="805">
        <v>39448</v>
      </c>
      <c r="O557" s="425">
        <v>1121.1489999999999</v>
      </c>
      <c r="P557" s="1000" t="s">
        <v>728</v>
      </c>
      <c r="Q557" s="1091">
        <f>147.916+133.834+282.749+136.424</f>
        <v>700.923</v>
      </c>
      <c r="R557" s="852"/>
      <c r="S557" s="852"/>
      <c r="T557" s="848">
        <v>40458</v>
      </c>
      <c r="U557" s="479">
        <v>40724</v>
      </c>
      <c r="V557" s="478">
        <v>691.86496678551316</v>
      </c>
      <c r="W557" s="400">
        <f t="shared" si="28"/>
        <v>1.013092198115727</v>
      </c>
      <c r="X557" s="450" t="s">
        <v>728</v>
      </c>
      <c r="Y557" s="445" t="s">
        <v>2422</v>
      </c>
      <c r="Z557" s="480" t="s">
        <v>2144</v>
      </c>
      <c r="AA557" s="479">
        <v>40498</v>
      </c>
      <c r="AB557" s="848"/>
      <c r="AC557" s="880">
        <v>40479</v>
      </c>
      <c r="AD557" s="479">
        <v>40459</v>
      </c>
      <c r="AE557" s="479"/>
      <c r="AF557" s="479"/>
      <c r="AG557" s="480"/>
      <c r="AH557" s="846"/>
      <c r="AI557" s="480"/>
      <c r="AJ557" s="480"/>
      <c r="AK557" s="480"/>
      <c r="AL557" s="480"/>
      <c r="AM557" s="480"/>
      <c r="AN557" s="480"/>
      <c r="AO557" s="480"/>
      <c r="AP557" s="818"/>
      <c r="AQ557" s="51"/>
    </row>
    <row r="558" spans="1:43" s="464" customFormat="1" ht="16.5" customHeight="1">
      <c r="A558" s="491" t="s">
        <v>2125</v>
      </c>
      <c r="B558" s="756" t="s">
        <v>2122</v>
      </c>
      <c r="C558" s="445" t="s">
        <v>2119</v>
      </c>
      <c r="D558" s="449" t="s">
        <v>707</v>
      </c>
      <c r="E558" s="532" t="s">
        <v>1043</v>
      </c>
      <c r="F558" s="480">
        <v>1</v>
      </c>
      <c r="G558" s="480"/>
      <c r="H558" s="450" t="s">
        <v>968</v>
      </c>
      <c r="I558" s="724" t="s">
        <v>1467</v>
      </c>
      <c r="J558" s="552" t="s">
        <v>2128</v>
      </c>
      <c r="K558" s="724" t="s">
        <v>1632</v>
      </c>
      <c r="L558" s="425">
        <v>44.430999999999997</v>
      </c>
      <c r="M558" s="505">
        <v>0</v>
      </c>
      <c r="N558" s="805">
        <v>39448</v>
      </c>
      <c r="O558" s="425">
        <v>222.15299999999999</v>
      </c>
      <c r="P558" s="886" t="s">
        <v>728</v>
      </c>
      <c r="Q558" s="1087">
        <f>92.863+40.097</f>
        <v>132.96</v>
      </c>
      <c r="R558" s="425"/>
      <c r="S558" s="425"/>
      <c r="T558" s="733">
        <v>40499</v>
      </c>
      <c r="U558" s="865">
        <v>40853</v>
      </c>
      <c r="V558" s="425">
        <v>171.02891780821915</v>
      </c>
      <c r="W558" s="400">
        <f t="shared" si="28"/>
        <v>0.77741239144770136</v>
      </c>
      <c r="X558" s="450" t="s">
        <v>728</v>
      </c>
      <c r="Y558" s="445" t="s">
        <v>2112</v>
      </c>
      <c r="Z558" s="445" t="s">
        <v>2112</v>
      </c>
      <c r="AA558" s="479">
        <v>40498</v>
      </c>
      <c r="AB558" s="848"/>
      <c r="AC558" s="880">
        <v>40492</v>
      </c>
      <c r="AD558" s="479">
        <v>40471</v>
      </c>
      <c r="AE558" s="987"/>
      <c r="AF558" s="479"/>
      <c r="AG558" s="480"/>
      <c r="AH558" s="505">
        <v>0</v>
      </c>
      <c r="AI558" s="480"/>
      <c r="AJ558" s="480"/>
      <c r="AK558" s="480"/>
      <c r="AL558" s="480"/>
      <c r="AM558" s="480"/>
      <c r="AN558" s="480"/>
      <c r="AO558" s="480"/>
      <c r="AP558" s="818"/>
      <c r="AQ558" s="782"/>
    </row>
    <row r="559" spans="1:43" s="464" customFormat="1" ht="15" customHeight="1">
      <c r="A559" s="491" t="s">
        <v>2126</v>
      </c>
      <c r="B559" s="756" t="s">
        <v>2123</v>
      </c>
      <c r="C559" s="532" t="s">
        <v>2120</v>
      </c>
      <c r="D559" s="449" t="s">
        <v>707</v>
      </c>
      <c r="E559" s="532" t="s">
        <v>1562</v>
      </c>
      <c r="F559" s="480">
        <v>1</v>
      </c>
      <c r="G559" s="480"/>
      <c r="H559" s="450" t="s">
        <v>968</v>
      </c>
      <c r="I559" s="724" t="s">
        <v>719</v>
      </c>
      <c r="J559" s="513" t="s">
        <v>2145</v>
      </c>
      <c r="K559" s="724" t="s">
        <v>2127</v>
      </c>
      <c r="L559" s="425">
        <v>138.47300000000001</v>
      </c>
      <c r="M559" s="505">
        <v>0</v>
      </c>
      <c r="N559" s="805">
        <v>39448</v>
      </c>
      <c r="O559" s="425">
        <v>692.36300000000006</v>
      </c>
      <c r="P559" s="886" t="s">
        <v>728</v>
      </c>
      <c r="Q559" s="1090">
        <f>93.598+138.879+132.175+156.044+80.064+131.033+135.975+130.171</f>
        <v>997.93900000000008</v>
      </c>
      <c r="R559" s="478"/>
      <c r="S559" s="478"/>
      <c r="T559" s="848">
        <v>40501</v>
      </c>
      <c r="U559" s="479">
        <v>41182</v>
      </c>
      <c r="V559" s="478">
        <v>657.84159452054803</v>
      </c>
      <c r="W559" s="400">
        <f t="shared" si="28"/>
        <v>1.5169898168681837</v>
      </c>
      <c r="X559" s="887" t="s">
        <v>728</v>
      </c>
      <c r="Y559" s="445" t="s">
        <v>2112</v>
      </c>
      <c r="Z559" s="445" t="s">
        <v>2112</v>
      </c>
      <c r="AA559" s="479">
        <v>40498</v>
      </c>
      <c r="AB559" s="848"/>
      <c r="AC559" s="880">
        <v>40491</v>
      </c>
      <c r="AD559" s="479">
        <v>40455</v>
      </c>
      <c r="AE559" s="479"/>
      <c r="AF559" s="479"/>
      <c r="AG559" s="480"/>
      <c r="AH559" s="505">
        <v>0</v>
      </c>
      <c r="AI559" s="480"/>
      <c r="AJ559" s="480"/>
      <c r="AK559" s="480"/>
      <c r="AL559" s="480"/>
      <c r="AM559" s="480"/>
      <c r="AN559" s="480"/>
      <c r="AO559" s="480"/>
      <c r="AP559" s="818"/>
      <c r="AQ559" s="466"/>
    </row>
    <row r="560" spans="1:43" s="464" customFormat="1" ht="15" customHeight="1">
      <c r="A560" s="491" t="s">
        <v>2134</v>
      </c>
      <c r="B560" s="756" t="s">
        <v>2136</v>
      </c>
      <c r="C560" s="445" t="s">
        <v>2148</v>
      </c>
      <c r="D560" s="449" t="s">
        <v>707</v>
      </c>
      <c r="E560" s="532" t="s">
        <v>1043</v>
      </c>
      <c r="F560" s="480">
        <v>1</v>
      </c>
      <c r="G560" s="480"/>
      <c r="H560" s="490" t="s">
        <v>968</v>
      </c>
      <c r="I560" s="724" t="s">
        <v>1735</v>
      </c>
      <c r="J560" s="552" t="s">
        <v>1946</v>
      </c>
      <c r="K560" s="724" t="s">
        <v>2150</v>
      </c>
      <c r="L560" s="478">
        <f>O560/5</f>
        <v>297.81819999999999</v>
      </c>
      <c r="M560" s="505">
        <v>0</v>
      </c>
      <c r="N560" s="805">
        <v>39448</v>
      </c>
      <c r="O560" s="478">
        <v>1489.0909999999999</v>
      </c>
      <c r="P560" s="886" t="s">
        <v>728</v>
      </c>
      <c r="Q560" s="1090">
        <v>1204.3219999999999</v>
      </c>
      <c r="R560" s="478"/>
      <c r="S560" s="478"/>
      <c r="T560" s="848">
        <v>41296</v>
      </c>
      <c r="U560" s="1003">
        <v>40908</v>
      </c>
      <c r="V560" s="478">
        <v>1191.2728</v>
      </c>
      <c r="W560" s="400">
        <f t="shared" si="28"/>
        <v>1.0109539981102564</v>
      </c>
      <c r="X560" s="393" t="s">
        <v>728</v>
      </c>
      <c r="Y560" s="391" t="s">
        <v>1476</v>
      </c>
      <c r="Z560" s="532" t="s">
        <v>2149</v>
      </c>
      <c r="AA560" s="479">
        <v>40508</v>
      </c>
      <c r="AB560" s="848"/>
      <c r="AC560" s="880">
        <v>40499</v>
      </c>
      <c r="AD560" s="479">
        <v>41290</v>
      </c>
      <c r="AE560" s="479"/>
      <c r="AF560" s="479"/>
      <c r="AG560" s="480"/>
      <c r="AH560" s="480"/>
      <c r="AI560" s="480"/>
      <c r="AJ560" s="480"/>
      <c r="AK560" s="480"/>
      <c r="AL560" s="480"/>
      <c r="AM560" s="480"/>
      <c r="AN560" s="480"/>
      <c r="AO560" s="532" t="s">
        <v>4054</v>
      </c>
      <c r="AP560" s="818"/>
      <c r="AQ560" s="782"/>
    </row>
    <row r="561" spans="1:43" s="464" customFormat="1" ht="12.75" customHeight="1">
      <c r="A561" s="491" t="s">
        <v>2212</v>
      </c>
      <c r="B561" s="756" t="s">
        <v>2172</v>
      </c>
      <c r="C561" s="445" t="s">
        <v>2187</v>
      </c>
      <c r="D561" s="449" t="s">
        <v>707</v>
      </c>
      <c r="E561" s="445" t="s">
        <v>1043</v>
      </c>
      <c r="F561" s="480">
        <v>1</v>
      </c>
      <c r="G561" s="480"/>
      <c r="H561" s="490" t="s">
        <v>968</v>
      </c>
      <c r="I561" s="724" t="s">
        <v>1735</v>
      </c>
      <c r="J561" s="507" t="s">
        <v>1946</v>
      </c>
      <c r="K561" s="724" t="s">
        <v>2150</v>
      </c>
      <c r="L561" s="478">
        <f>O561/5</f>
        <v>355.09499999999997</v>
      </c>
      <c r="M561" s="505">
        <v>90</v>
      </c>
      <c r="N561" s="805">
        <v>39448</v>
      </c>
      <c r="O561" s="478">
        <v>1775.4749999999999</v>
      </c>
      <c r="P561" s="532" t="s">
        <v>728</v>
      </c>
      <c r="Q561" s="1090">
        <f>131.99+172.894+333.708+213.709</f>
        <v>852.30100000000016</v>
      </c>
      <c r="R561" s="478"/>
      <c r="S561" s="478"/>
      <c r="T561" s="848">
        <v>40541</v>
      </c>
      <c r="U561" s="1003">
        <v>40908</v>
      </c>
      <c r="V561" s="478">
        <v>1240.3799999999999</v>
      </c>
      <c r="W561" s="400">
        <f t="shared" si="28"/>
        <v>0.68712894435576211</v>
      </c>
      <c r="X561" s="393" t="s">
        <v>728</v>
      </c>
      <c r="Y561" s="391" t="s">
        <v>2188</v>
      </c>
      <c r="Z561" s="532" t="s">
        <v>2191</v>
      </c>
      <c r="AA561" s="479">
        <v>40536</v>
      </c>
      <c r="AB561" s="848"/>
      <c r="AC561" s="880">
        <v>40338</v>
      </c>
      <c r="AD561" s="479">
        <v>40225</v>
      </c>
      <c r="AE561" s="479"/>
      <c r="AF561" s="479"/>
      <c r="AG561" s="480"/>
      <c r="AH561" s="505">
        <f>(1520-1460)</f>
        <v>60</v>
      </c>
      <c r="AI561" s="846"/>
      <c r="AJ561" s="480"/>
      <c r="AK561" s="480"/>
      <c r="AL561" s="480"/>
      <c r="AM561" s="480"/>
      <c r="AN561" s="480"/>
      <c r="AO561" s="480"/>
      <c r="AP561" s="818"/>
      <c r="AQ561" s="782"/>
    </row>
    <row r="562" spans="1:43" s="464" customFormat="1" ht="12.75" customHeight="1">
      <c r="A562" s="491" t="s">
        <v>2213</v>
      </c>
      <c r="B562" s="756" t="s">
        <v>2173</v>
      </c>
      <c r="C562" s="445" t="s">
        <v>2189</v>
      </c>
      <c r="D562" s="449" t="s">
        <v>707</v>
      </c>
      <c r="E562" s="445" t="s">
        <v>2190</v>
      </c>
      <c r="F562" s="480">
        <v>1</v>
      </c>
      <c r="G562" s="480"/>
      <c r="H562" s="490" t="s">
        <v>968</v>
      </c>
      <c r="I562" s="724" t="s">
        <v>1735</v>
      </c>
      <c r="J562" s="507" t="s">
        <v>1946</v>
      </c>
      <c r="K562" s="724" t="s">
        <v>2150</v>
      </c>
      <c r="L562" s="478">
        <f>O562/5</f>
        <v>340.81020000000001</v>
      </c>
      <c r="M562" s="505">
        <v>0</v>
      </c>
      <c r="N562" s="805">
        <v>39448</v>
      </c>
      <c r="O562" s="478">
        <v>1704.0509999999999</v>
      </c>
      <c r="P562" s="532" t="s">
        <v>728</v>
      </c>
      <c r="Q562" s="1090">
        <f>381.511+266.726+273.322+74.973</f>
        <v>996.53200000000004</v>
      </c>
      <c r="R562" s="478"/>
      <c r="S562" s="478"/>
      <c r="T562" s="848">
        <v>40541</v>
      </c>
      <c r="U562" s="1003">
        <v>40908</v>
      </c>
      <c r="V562" s="478">
        <v>1363.2408</v>
      </c>
      <c r="W562" s="400">
        <f t="shared" si="28"/>
        <v>0.73100218244641735</v>
      </c>
      <c r="X562" s="393" t="s">
        <v>728</v>
      </c>
      <c r="Y562" s="391" t="s">
        <v>2188</v>
      </c>
      <c r="Z562" s="532" t="s">
        <v>2191</v>
      </c>
      <c r="AA562" s="479">
        <v>40536</v>
      </c>
      <c r="AB562" s="848"/>
      <c r="AC562" s="880">
        <v>40338</v>
      </c>
      <c r="AD562" s="479">
        <v>40225</v>
      </c>
      <c r="AE562" s="479"/>
      <c r="AF562" s="479"/>
      <c r="AG562" s="480"/>
      <c r="AH562" s="505">
        <f>1239-1125</f>
        <v>114</v>
      </c>
      <c r="AI562" s="846"/>
      <c r="AJ562" s="480"/>
      <c r="AK562" s="480"/>
      <c r="AL562" s="480"/>
      <c r="AM562" s="480"/>
      <c r="AN562" s="480"/>
      <c r="AO562" s="480"/>
      <c r="AP562" s="818"/>
      <c r="AQ562" s="51"/>
    </row>
    <row r="563" spans="1:43" s="464" customFormat="1" ht="12.75" customHeight="1">
      <c r="A563" s="459" t="s">
        <v>761</v>
      </c>
      <c r="B563" s="499" t="s">
        <v>2266</v>
      </c>
      <c r="C563" s="445" t="s">
        <v>2274</v>
      </c>
      <c r="D563" s="449" t="s">
        <v>707</v>
      </c>
      <c r="E563" s="445" t="s">
        <v>1113</v>
      </c>
      <c r="F563" s="419">
        <v>1</v>
      </c>
      <c r="G563" s="445" t="s">
        <v>2781</v>
      </c>
      <c r="H563" s="421" t="s">
        <v>968</v>
      </c>
      <c r="I563" s="455" t="s">
        <v>1082</v>
      </c>
      <c r="J563" s="507" t="s">
        <v>1357</v>
      </c>
      <c r="K563" s="455" t="s">
        <v>1298</v>
      </c>
      <c r="L563" s="423">
        <f>O563/5</f>
        <v>35.176000000000002</v>
      </c>
      <c r="M563" s="423">
        <v>0</v>
      </c>
      <c r="N563" s="431">
        <v>40106</v>
      </c>
      <c r="O563" s="425">
        <v>175.88</v>
      </c>
      <c r="P563" s="548" t="s">
        <v>1314</v>
      </c>
      <c r="Q563" s="1087">
        <f>32.331+42.89</f>
        <v>75.221000000000004</v>
      </c>
      <c r="R563" s="425"/>
      <c r="S563" s="425"/>
      <c r="T563" s="733">
        <v>40766</v>
      </c>
      <c r="U563" s="444">
        <v>40908</v>
      </c>
      <c r="V563" s="425">
        <v>77.290827397260287</v>
      </c>
      <c r="W563" s="400">
        <f t="shared" si="28"/>
        <v>0.97322027118920906</v>
      </c>
      <c r="X563" s="393" t="s">
        <v>728</v>
      </c>
      <c r="Y563" s="419" t="s">
        <v>2275</v>
      </c>
      <c r="Z563" s="445" t="s">
        <v>1045</v>
      </c>
      <c r="AA563" s="1006">
        <v>39645</v>
      </c>
      <c r="AB563" s="733">
        <v>40598</v>
      </c>
      <c r="AC563" s="881">
        <v>40221</v>
      </c>
      <c r="AD563" s="444">
        <v>40077</v>
      </c>
      <c r="AE563" s="444"/>
      <c r="AF563" s="444"/>
      <c r="AG563" s="419"/>
      <c r="AH563" s="423">
        <v>0</v>
      </c>
      <c r="AI563" s="425"/>
      <c r="AJ563" s="423">
        <f>4.732731/Exch!B11</f>
        <v>5.6051555202254226</v>
      </c>
      <c r="AK563" s="423">
        <f>AJ563*1000/L563</f>
        <v>159.34601774577618</v>
      </c>
      <c r="AL563" s="419"/>
      <c r="AM563" s="419"/>
      <c r="AN563" s="419"/>
      <c r="AO563" s="419"/>
      <c r="AP563" s="530"/>
      <c r="AQ563" s="51"/>
    </row>
    <row r="564" spans="1:43" s="464" customFormat="1" ht="12.75" customHeight="1">
      <c r="A564" s="459" t="s">
        <v>48</v>
      </c>
      <c r="B564" s="756" t="s">
        <v>2267</v>
      </c>
      <c r="C564" s="445" t="s">
        <v>2276</v>
      </c>
      <c r="D564" s="449" t="s">
        <v>707</v>
      </c>
      <c r="E564" s="445" t="s">
        <v>229</v>
      </c>
      <c r="F564" s="480">
        <v>1</v>
      </c>
      <c r="G564" s="445" t="s">
        <v>2772</v>
      </c>
      <c r="H564" s="490" t="s">
        <v>968</v>
      </c>
      <c r="I564" s="394" t="s">
        <v>845</v>
      </c>
      <c r="J564" s="391" t="s">
        <v>346</v>
      </c>
      <c r="K564" s="724" t="s">
        <v>842</v>
      </c>
      <c r="L564" s="505">
        <f>O564/3.75</f>
        <v>175.23519999999999</v>
      </c>
      <c r="M564" s="505">
        <v>50</v>
      </c>
      <c r="N564" s="805">
        <v>39904</v>
      </c>
      <c r="O564" s="478">
        <v>657.13199999999995</v>
      </c>
      <c r="P564" s="886" t="s">
        <v>728</v>
      </c>
      <c r="Q564" s="1090">
        <f>32.873+125.087</f>
        <v>157.96</v>
      </c>
      <c r="R564" s="478"/>
      <c r="S564" s="478"/>
      <c r="T564" s="848">
        <v>40543</v>
      </c>
      <c r="U564" s="479">
        <v>41121</v>
      </c>
      <c r="V564" s="478">
        <v>445.42654919121793</v>
      </c>
      <c r="W564" s="400">
        <f t="shared" si="28"/>
        <v>0.35462636945825404</v>
      </c>
      <c r="X564" s="393" t="s">
        <v>728</v>
      </c>
      <c r="Y564" s="419" t="s">
        <v>1569</v>
      </c>
      <c r="Z564" s="532" t="s">
        <v>202</v>
      </c>
      <c r="AA564" s="479">
        <v>40155</v>
      </c>
      <c r="AB564" s="848">
        <v>40598</v>
      </c>
      <c r="AC564" s="880">
        <v>40457</v>
      </c>
      <c r="AD564" s="479">
        <v>40266</v>
      </c>
      <c r="AE564" s="479"/>
      <c r="AF564" s="479"/>
      <c r="AG564" s="480"/>
      <c r="AH564" s="505">
        <v>0</v>
      </c>
      <c r="AI564" s="478"/>
      <c r="AJ564" s="846"/>
      <c r="AK564" s="480"/>
      <c r="AL564" s="480"/>
      <c r="AM564" s="480"/>
      <c r="AN564" s="480"/>
      <c r="AO564" s="480"/>
      <c r="AP564" s="787"/>
      <c r="AQ564" s="781"/>
    </row>
    <row r="565" spans="1:43" s="464" customFormat="1" ht="12.75" customHeight="1">
      <c r="A565" s="491" t="s">
        <v>2272</v>
      </c>
      <c r="B565" s="756" t="s">
        <v>2268</v>
      </c>
      <c r="C565" s="445" t="s">
        <v>2277</v>
      </c>
      <c r="D565" s="449" t="s">
        <v>707</v>
      </c>
      <c r="E565" s="445" t="s">
        <v>603</v>
      </c>
      <c r="F565" s="480">
        <v>1</v>
      </c>
      <c r="G565" s="480"/>
      <c r="H565" s="490" t="s">
        <v>968</v>
      </c>
      <c r="I565" s="404" t="s">
        <v>1576</v>
      </c>
      <c r="J565" s="905" t="s">
        <v>1577</v>
      </c>
      <c r="K565" s="533" t="s">
        <v>2001</v>
      </c>
      <c r="L565" s="505">
        <f>O565/5</f>
        <v>73.276199999999989</v>
      </c>
      <c r="M565" s="505">
        <v>0</v>
      </c>
      <c r="N565" s="805">
        <v>39448</v>
      </c>
      <c r="O565" s="478">
        <v>366.38099999999997</v>
      </c>
      <c r="P565" s="886" t="s">
        <v>728</v>
      </c>
      <c r="Q565" s="1090">
        <f>95.692+26.826+25.395+22.189</f>
        <v>170.102</v>
      </c>
      <c r="R565" s="478"/>
      <c r="S565" s="478"/>
      <c r="T565" s="848">
        <v>40540</v>
      </c>
      <c r="U565" s="479">
        <v>40968</v>
      </c>
      <c r="V565" s="478">
        <v>305.15020273972596</v>
      </c>
      <c r="W565" s="400">
        <f t="shared" si="28"/>
        <v>0.55743695554771222</v>
      </c>
      <c r="X565" s="393" t="s">
        <v>728</v>
      </c>
      <c r="Y565" s="445" t="s">
        <v>2142</v>
      </c>
      <c r="Z565" s="532" t="s">
        <v>2278</v>
      </c>
      <c r="AA565" s="479">
        <v>40598</v>
      </c>
      <c r="AB565" s="848"/>
      <c r="AC565" s="880">
        <v>40539</v>
      </c>
      <c r="AD565" s="479">
        <v>40246</v>
      </c>
      <c r="AE565" s="479"/>
      <c r="AF565" s="479"/>
      <c r="AG565" s="480"/>
      <c r="AH565" s="505">
        <v>35</v>
      </c>
      <c r="AI565" s="478">
        <f>200000/AH565</f>
        <v>5714.2857142857147</v>
      </c>
      <c r="AJ565" s="505">
        <f>16.2889/Exch!B11</f>
        <v>19.291571347156619</v>
      </c>
      <c r="AK565" s="423">
        <f>AJ565*1000/L565</f>
        <v>263.27199482446719</v>
      </c>
      <c r="AL565" s="425">
        <f>AJ565*1000/AH565</f>
        <v>551.18775277590339</v>
      </c>
      <c r="AM565" s="480"/>
      <c r="AN565" s="480"/>
      <c r="AO565" s="480"/>
      <c r="AP565" s="787"/>
      <c r="AQ565" s="782"/>
    </row>
    <row r="566" spans="1:43" s="464" customFormat="1" ht="15" customHeight="1">
      <c r="A566" s="465" t="s">
        <v>1898</v>
      </c>
      <c r="B566" s="499" t="s">
        <v>2269</v>
      </c>
      <c r="C566" s="445" t="s">
        <v>2279</v>
      </c>
      <c r="D566" s="449" t="s">
        <v>707</v>
      </c>
      <c r="E566" s="445" t="s">
        <v>1043</v>
      </c>
      <c r="F566" s="419">
        <v>1</v>
      </c>
      <c r="G566" s="445" t="s">
        <v>2774</v>
      </c>
      <c r="H566" s="421" t="s">
        <v>968</v>
      </c>
      <c r="I566" s="455" t="s">
        <v>911</v>
      </c>
      <c r="J566" s="419" t="s">
        <v>1577</v>
      </c>
      <c r="K566" s="448" t="s">
        <v>2001</v>
      </c>
      <c r="L566" s="423">
        <f>O566/5</f>
        <v>910.38459999999998</v>
      </c>
      <c r="M566" s="423">
        <v>0</v>
      </c>
      <c r="N566" s="431">
        <v>39448</v>
      </c>
      <c r="O566" s="425">
        <v>4551.9229999999998</v>
      </c>
      <c r="P566" s="493" t="s">
        <v>728</v>
      </c>
      <c r="Q566" s="1087">
        <f>2593.557+1529.85+1946.386</f>
        <v>6069.7929999999997</v>
      </c>
      <c r="R566" s="425"/>
      <c r="S566" s="425"/>
      <c r="T566" s="733">
        <v>40522</v>
      </c>
      <c r="U566" s="444">
        <v>41090</v>
      </c>
      <c r="V566" s="425">
        <v>4095.4835978082197</v>
      </c>
      <c r="W566" s="400">
        <f t="shared" si="28"/>
        <v>1.4820699082394986</v>
      </c>
      <c r="X566" s="393" t="s">
        <v>728</v>
      </c>
      <c r="Y566" s="445" t="s">
        <v>1615</v>
      </c>
      <c r="Z566" s="419" t="s">
        <v>1616</v>
      </c>
      <c r="AA566" s="444">
        <v>40330</v>
      </c>
      <c r="AB566" s="733">
        <v>40598</v>
      </c>
      <c r="AC566" s="881">
        <v>40463</v>
      </c>
      <c r="AD566" s="444">
        <v>40350</v>
      </c>
      <c r="AE566" s="444"/>
      <c r="AF566" s="444"/>
      <c r="AG566" s="419"/>
      <c r="AH566" s="423">
        <v>0</v>
      </c>
      <c r="AI566" s="425"/>
      <c r="AJ566" s="740"/>
      <c r="AK566" s="419"/>
      <c r="AL566" s="419"/>
      <c r="AM566" s="419"/>
      <c r="AN566" s="419"/>
      <c r="AO566" s="419"/>
      <c r="AP566" s="530"/>
      <c r="AQ566" s="51"/>
    </row>
    <row r="567" spans="1:43" s="464" customFormat="1" ht="28.5" customHeight="1">
      <c r="A567" s="459" t="s">
        <v>1788</v>
      </c>
      <c r="B567" s="756" t="s">
        <v>2270</v>
      </c>
      <c r="C567" s="445" t="s">
        <v>2280</v>
      </c>
      <c r="D567" s="449" t="s">
        <v>707</v>
      </c>
      <c r="E567" s="445" t="s">
        <v>1043</v>
      </c>
      <c r="F567" s="480">
        <v>1</v>
      </c>
      <c r="G567" s="445" t="s">
        <v>3843</v>
      </c>
      <c r="H567" s="533" t="s">
        <v>968</v>
      </c>
      <c r="I567" s="455" t="s">
        <v>911</v>
      </c>
      <c r="J567" s="419" t="s">
        <v>1577</v>
      </c>
      <c r="K567" s="533" t="s">
        <v>2001</v>
      </c>
      <c r="L567" s="505">
        <f>O567/5</f>
        <v>494.09960000000001</v>
      </c>
      <c r="M567" s="505">
        <v>0</v>
      </c>
      <c r="N567" s="805">
        <v>39448</v>
      </c>
      <c r="O567" s="478">
        <v>2470.498</v>
      </c>
      <c r="P567" s="886" t="s">
        <v>728</v>
      </c>
      <c r="Q567" s="1090">
        <f>901.32+174.935+673.04</f>
        <v>1749.2950000000001</v>
      </c>
      <c r="R567" s="478"/>
      <c r="S567" s="478"/>
      <c r="T567" s="848">
        <v>40585</v>
      </c>
      <c r="U567" s="479">
        <v>41213</v>
      </c>
      <c r="V567" s="478">
        <v>2389.2761479452056</v>
      </c>
      <c r="W567" s="400">
        <f t="shared" si="28"/>
        <v>0.73214433647797728</v>
      </c>
      <c r="X567" s="951" t="s">
        <v>728</v>
      </c>
      <c r="Y567" s="419" t="s">
        <v>1569</v>
      </c>
      <c r="Z567" s="532" t="s">
        <v>202</v>
      </c>
      <c r="AA567" s="479">
        <v>40270</v>
      </c>
      <c r="AB567" s="848">
        <v>40598</v>
      </c>
      <c r="AC567" s="880">
        <v>40569</v>
      </c>
      <c r="AD567" s="479">
        <v>40386</v>
      </c>
      <c r="AE567" s="479"/>
      <c r="AF567" s="479"/>
      <c r="AG567" s="480"/>
      <c r="AH567" s="505">
        <v>0</v>
      </c>
      <c r="AI567" s="478"/>
      <c r="AJ567" s="480">
        <f>690</f>
        <v>690</v>
      </c>
      <c r="AK567" s="423">
        <f>AJ567*1000/L567</f>
        <v>1396.4795761826158</v>
      </c>
      <c r="AL567" s="480"/>
      <c r="AM567" s="480"/>
      <c r="AN567" s="480"/>
      <c r="AO567" s="480"/>
      <c r="AP567" s="787"/>
      <c r="AQ567" s="51"/>
    </row>
    <row r="568" spans="1:43" s="464" customFormat="1" ht="29.25" customHeight="1">
      <c r="A568" s="491" t="s">
        <v>2273</v>
      </c>
      <c r="B568" s="756" t="s">
        <v>2271</v>
      </c>
      <c r="C568" s="445" t="s">
        <v>2281</v>
      </c>
      <c r="D568" s="449" t="s">
        <v>707</v>
      </c>
      <c r="E568" s="445" t="s">
        <v>229</v>
      </c>
      <c r="F568" s="480">
        <v>1</v>
      </c>
      <c r="G568" s="480"/>
      <c r="H568" s="533" t="s">
        <v>968</v>
      </c>
      <c r="I568" s="455" t="s">
        <v>981</v>
      </c>
      <c r="J568" s="513" t="s">
        <v>1173</v>
      </c>
      <c r="K568" s="533" t="s">
        <v>2001</v>
      </c>
      <c r="L568" s="505">
        <v>502.2</v>
      </c>
      <c r="M568" s="505">
        <v>0</v>
      </c>
      <c r="N568" s="805">
        <v>40127</v>
      </c>
      <c r="O568" s="478">
        <f>L568*3.166</f>
        <v>1589.9651999999999</v>
      </c>
      <c r="P568" s="548" t="s">
        <v>1732</v>
      </c>
      <c r="Q568" s="1090"/>
      <c r="R568" s="478"/>
      <c r="S568" s="478"/>
      <c r="T568" s="848"/>
      <c r="U568" s="479"/>
      <c r="V568" s="478"/>
      <c r="W568" s="480"/>
      <c r="X568" s="490"/>
      <c r="Y568" s="419" t="s">
        <v>2282</v>
      </c>
      <c r="Z568" s="532" t="s">
        <v>2262</v>
      </c>
      <c r="AA568" s="479">
        <v>40598</v>
      </c>
      <c r="AB568" s="848"/>
      <c r="AC568" s="880">
        <v>40345</v>
      </c>
      <c r="AD568" s="479">
        <v>40255</v>
      </c>
      <c r="AE568" s="479"/>
      <c r="AF568" s="479"/>
      <c r="AG568" s="480"/>
      <c r="AH568" s="505"/>
      <c r="AI568" s="478"/>
      <c r="AJ568" s="480"/>
      <c r="AK568" s="480"/>
      <c r="AL568" s="480"/>
      <c r="AM568" s="480"/>
      <c r="AN568" s="480"/>
      <c r="AO568" s="480"/>
      <c r="AP568" s="787"/>
      <c r="AQ568" s="51"/>
    </row>
    <row r="569" spans="1:43" s="464" customFormat="1" ht="27.75" customHeight="1">
      <c r="A569" s="491" t="s">
        <v>2284</v>
      </c>
      <c r="B569" s="756" t="s">
        <v>2285</v>
      </c>
      <c r="C569" s="445" t="s">
        <v>2286</v>
      </c>
      <c r="D569" s="449" t="s">
        <v>707</v>
      </c>
      <c r="E569" s="445"/>
      <c r="F569" s="480">
        <v>1</v>
      </c>
      <c r="G569" s="480"/>
      <c r="H569" s="490" t="s">
        <v>968</v>
      </c>
      <c r="I569" s="724" t="s">
        <v>971</v>
      </c>
      <c r="J569" s="507" t="s">
        <v>1321</v>
      </c>
      <c r="K569" s="724" t="s">
        <v>680</v>
      </c>
      <c r="L569" s="505">
        <f>O569/5</f>
        <v>218.07600000000002</v>
      </c>
      <c r="M569" s="505">
        <v>65</v>
      </c>
      <c r="N569" s="805">
        <v>39448</v>
      </c>
      <c r="O569" s="478">
        <v>1090.3800000000001</v>
      </c>
      <c r="P569" s="548" t="s">
        <v>1486</v>
      </c>
      <c r="Q569" s="1090">
        <f>274.377+139.232+197.821+175.235</f>
        <v>786.66500000000008</v>
      </c>
      <c r="R569" s="478"/>
      <c r="S569" s="478"/>
      <c r="T569" s="848">
        <v>40644</v>
      </c>
      <c r="U569" s="479">
        <v>41274</v>
      </c>
      <c r="V569" s="478">
        <v>1091.422917920811</v>
      </c>
      <c r="W569" s="400">
        <f t="shared" ref="W569:W602" si="29">Q569/V569</f>
        <v>0.72077009478472132</v>
      </c>
      <c r="X569" s="393" t="s">
        <v>728</v>
      </c>
      <c r="Y569" s="419" t="s">
        <v>2288</v>
      </c>
      <c r="Z569" s="419" t="s">
        <v>1564</v>
      </c>
      <c r="AA569" s="479">
        <v>40603</v>
      </c>
      <c r="AB569" s="848"/>
      <c r="AC569" s="880">
        <v>39220</v>
      </c>
      <c r="AD569" s="479">
        <v>40282</v>
      </c>
      <c r="AE569" s="479"/>
      <c r="AF569" s="479"/>
      <c r="AG569" s="480"/>
      <c r="AH569" s="874"/>
      <c r="AI569" s="478"/>
      <c r="AJ569" s="480">
        <v>296</v>
      </c>
      <c r="AK569" s="480"/>
      <c r="AL569" s="480"/>
      <c r="AM569" s="480"/>
      <c r="AN569" s="480"/>
      <c r="AO569" s="480" t="s">
        <v>2287</v>
      </c>
      <c r="AP569" s="787"/>
      <c r="AQ569" s="782"/>
    </row>
    <row r="570" spans="1:43" s="464" customFormat="1" ht="27" customHeight="1">
      <c r="A570" s="491" t="s">
        <v>2409</v>
      </c>
      <c r="B570" s="489" t="s">
        <v>2601</v>
      </c>
      <c r="C570" s="445" t="s">
        <v>2600</v>
      </c>
      <c r="D570" s="449" t="s">
        <v>707</v>
      </c>
      <c r="E570" s="445" t="s">
        <v>2416</v>
      </c>
      <c r="F570" s="419">
        <v>1</v>
      </c>
      <c r="G570" s="419"/>
      <c r="H570" s="421" t="s">
        <v>968</v>
      </c>
      <c r="I570" s="448" t="s">
        <v>1467</v>
      </c>
      <c r="J570" s="420" t="s">
        <v>1136</v>
      </c>
      <c r="K570" s="455" t="s">
        <v>1632</v>
      </c>
      <c r="L570" s="423">
        <f>O570/5</f>
        <v>484.6866</v>
      </c>
      <c r="M570" s="423">
        <v>0</v>
      </c>
      <c r="N570" s="431">
        <v>39448</v>
      </c>
      <c r="O570" s="425">
        <v>2423.433</v>
      </c>
      <c r="P570" s="493" t="s">
        <v>728</v>
      </c>
      <c r="Q570" s="1087">
        <f>53.642+229.712+55.116+251.921+28.839+284.284</f>
        <v>903.51400000000001</v>
      </c>
      <c r="R570" s="425"/>
      <c r="S570" s="425"/>
      <c r="T570" s="733">
        <v>40639</v>
      </c>
      <c r="U570" s="444">
        <v>40543</v>
      </c>
      <c r="V570" s="425">
        <v>1454.0598</v>
      </c>
      <c r="W570" s="400">
        <f t="shared" si="29"/>
        <v>0.62137334379232545</v>
      </c>
      <c r="X570" s="421" t="s">
        <v>728</v>
      </c>
      <c r="Y570" s="419" t="s">
        <v>2419</v>
      </c>
      <c r="Z570" s="532" t="s">
        <v>1091</v>
      </c>
      <c r="AA570" s="479">
        <v>40641</v>
      </c>
      <c r="AB570" s="733">
        <v>40765</v>
      </c>
      <c r="AC570" s="881">
        <v>40618</v>
      </c>
      <c r="AD570" s="444">
        <v>40534</v>
      </c>
      <c r="AE570" s="444"/>
      <c r="AF570" s="444"/>
      <c r="AG570" s="419"/>
      <c r="AH570" s="419"/>
      <c r="AI570" s="419"/>
      <c r="AJ570" s="419"/>
      <c r="AK570" s="419"/>
      <c r="AL570" s="419"/>
      <c r="AM570" s="419"/>
      <c r="AN570" s="419"/>
      <c r="AO570" s="419"/>
      <c r="AP570" s="463"/>
      <c r="AQ570" s="782"/>
    </row>
    <row r="571" spans="1:43" s="464" customFormat="1" ht="28.5" customHeight="1">
      <c r="A571" s="459" t="s">
        <v>194</v>
      </c>
      <c r="B571" s="499" t="s">
        <v>2406</v>
      </c>
      <c r="C571" s="445" t="s">
        <v>2405</v>
      </c>
      <c r="D571" s="449" t="s">
        <v>707</v>
      </c>
      <c r="E571" s="445" t="s">
        <v>226</v>
      </c>
      <c r="F571" s="419">
        <v>1</v>
      </c>
      <c r="G571" s="445" t="s">
        <v>3926</v>
      </c>
      <c r="H571" s="421" t="s">
        <v>968</v>
      </c>
      <c r="I571" s="455" t="s">
        <v>1082</v>
      </c>
      <c r="J571" s="507" t="s">
        <v>687</v>
      </c>
      <c r="K571" s="448" t="s">
        <v>1289</v>
      </c>
      <c r="L571" s="423">
        <f>O571/5</f>
        <v>41.367000000000004</v>
      </c>
      <c r="M571" s="423">
        <v>5</v>
      </c>
      <c r="N571" s="431">
        <v>39930</v>
      </c>
      <c r="O571" s="425">
        <v>206.83500000000001</v>
      </c>
      <c r="P571" s="868" t="s">
        <v>1732</v>
      </c>
      <c r="Q571" s="1087">
        <f>55.446+37.833</f>
        <v>93.278999999999996</v>
      </c>
      <c r="R571" s="425"/>
      <c r="S571" s="425"/>
      <c r="T571" s="733">
        <v>40766</v>
      </c>
      <c r="U571" s="444">
        <v>40908</v>
      </c>
      <c r="V571" s="425">
        <v>95.296400750609877</v>
      </c>
      <c r="W571" s="400">
        <f t="shared" si="29"/>
        <v>0.97883025240492127</v>
      </c>
      <c r="X571" s="421" t="s">
        <v>728</v>
      </c>
      <c r="Y571" s="419" t="s">
        <v>2420</v>
      </c>
      <c r="Z571" s="445" t="s">
        <v>1045</v>
      </c>
      <c r="AA571" s="1006">
        <v>39520</v>
      </c>
      <c r="AB571" s="733">
        <v>40641</v>
      </c>
      <c r="AC571" s="881">
        <v>40024</v>
      </c>
      <c r="AD571" s="444">
        <v>38517</v>
      </c>
      <c r="AE571" s="444"/>
      <c r="AF571" s="444"/>
      <c r="AG571" s="419"/>
      <c r="AH571" s="423">
        <v>0</v>
      </c>
      <c r="AI571" s="425"/>
      <c r="AJ571" s="419"/>
      <c r="AK571" s="419"/>
      <c r="AL571" s="419"/>
      <c r="AM571" s="419"/>
      <c r="AN571" s="419"/>
      <c r="AO571" s="419"/>
      <c r="AP571" s="530"/>
      <c r="AQ571" s="782"/>
    </row>
    <row r="572" spans="1:43" s="464" customFormat="1" ht="15" customHeight="1">
      <c r="A572" s="491" t="s">
        <v>2410</v>
      </c>
      <c r="B572" s="756" t="s">
        <v>2407</v>
      </c>
      <c r="C572" s="445" t="s">
        <v>2404</v>
      </c>
      <c r="D572" s="449" t="s">
        <v>707</v>
      </c>
      <c r="E572" s="445" t="s">
        <v>2421</v>
      </c>
      <c r="F572" s="480">
        <v>1</v>
      </c>
      <c r="G572" s="480"/>
      <c r="H572" s="490" t="s">
        <v>968</v>
      </c>
      <c r="I572" s="455" t="s">
        <v>1467</v>
      </c>
      <c r="J572" s="419" t="s">
        <v>1136</v>
      </c>
      <c r="K572" s="724" t="s">
        <v>1767</v>
      </c>
      <c r="L572" s="505">
        <f>O572/5</f>
        <v>157.33599999999998</v>
      </c>
      <c r="M572" s="505">
        <v>50</v>
      </c>
      <c r="N572" s="805">
        <v>39448</v>
      </c>
      <c r="O572" s="478">
        <v>786.68</v>
      </c>
      <c r="P572" s="886" t="s">
        <v>728</v>
      </c>
      <c r="Q572" s="1090">
        <f>146.491+157.293+212.297</f>
        <v>516.08100000000002</v>
      </c>
      <c r="R572" s="478"/>
      <c r="S572" s="478"/>
      <c r="T572" s="848">
        <v>40673</v>
      </c>
      <c r="U572" s="444">
        <v>40543</v>
      </c>
      <c r="V572" s="478">
        <v>322.00799999999992</v>
      </c>
      <c r="W572" s="400">
        <f t="shared" si="29"/>
        <v>1.6026962063054337</v>
      </c>
      <c r="X572" s="421" t="s">
        <v>728</v>
      </c>
      <c r="Y572" s="419" t="s">
        <v>2419</v>
      </c>
      <c r="Z572" s="938" t="s">
        <v>1091</v>
      </c>
      <c r="AA572" s="479">
        <v>40641</v>
      </c>
      <c r="AB572" s="848"/>
      <c r="AC572" s="880">
        <v>40618</v>
      </c>
      <c r="AD572" s="479">
        <v>40532</v>
      </c>
      <c r="AE572" s="479"/>
      <c r="AF572" s="479"/>
      <c r="AG572" s="480"/>
      <c r="AH572" s="505">
        <v>0</v>
      </c>
      <c r="AI572" s="478"/>
      <c r="AJ572" s="480"/>
      <c r="AK572" s="480"/>
      <c r="AL572" s="480"/>
      <c r="AM572" s="480"/>
      <c r="AN572" s="480"/>
      <c r="AO572" s="480"/>
      <c r="AP572" s="787"/>
      <c r="AQ572" s="782"/>
    </row>
    <row r="573" spans="1:43" s="464" customFormat="1" ht="31.5" customHeight="1">
      <c r="A573" s="491" t="s">
        <v>2411</v>
      </c>
      <c r="B573" s="756" t="s">
        <v>2408</v>
      </c>
      <c r="C573" s="445" t="s">
        <v>2402</v>
      </c>
      <c r="D573" s="449" t="s">
        <v>707</v>
      </c>
      <c r="E573" s="445" t="s">
        <v>229</v>
      </c>
      <c r="F573" s="480">
        <v>1</v>
      </c>
      <c r="G573" s="480"/>
      <c r="H573" s="490" t="s">
        <v>968</v>
      </c>
      <c r="I573" s="394" t="s">
        <v>845</v>
      </c>
      <c r="J573" s="391" t="s">
        <v>346</v>
      </c>
      <c r="K573" s="533" t="s">
        <v>2001</v>
      </c>
      <c r="L573" s="505">
        <f>O573/5</f>
        <v>86.866200000000006</v>
      </c>
      <c r="M573" s="505">
        <v>50</v>
      </c>
      <c r="N573" s="805">
        <v>39448</v>
      </c>
      <c r="O573" s="478">
        <v>434.33100000000002</v>
      </c>
      <c r="P573" s="886" t="s">
        <v>728</v>
      </c>
      <c r="Q573" s="1090">
        <f>50.924</f>
        <v>50.923999999999999</v>
      </c>
      <c r="R573" s="478"/>
      <c r="S573" s="478"/>
      <c r="T573" s="848">
        <v>40758</v>
      </c>
      <c r="U573" s="479">
        <v>40543</v>
      </c>
      <c r="V573" s="478">
        <v>110.59860000000002</v>
      </c>
      <c r="W573" s="400">
        <f t="shared" si="29"/>
        <v>0.46043982473557521</v>
      </c>
      <c r="X573" s="421" t="s">
        <v>728</v>
      </c>
      <c r="Y573" s="445" t="s">
        <v>2422</v>
      </c>
      <c r="Z573" s="532" t="s">
        <v>2423</v>
      </c>
      <c r="AA573" s="479">
        <v>40641</v>
      </c>
      <c r="AB573" s="733">
        <v>40758</v>
      </c>
      <c r="AC573" s="880">
        <v>40604</v>
      </c>
      <c r="AD573" s="479">
        <v>40529</v>
      </c>
      <c r="AE573" s="479"/>
      <c r="AF573" s="479"/>
      <c r="AG573" s="480"/>
      <c r="AH573" s="505">
        <v>0</v>
      </c>
      <c r="AI573" s="478"/>
      <c r="AJ573" s="480"/>
      <c r="AK573" s="480"/>
      <c r="AL573" s="480"/>
      <c r="AM573" s="480"/>
      <c r="AN573" s="480"/>
      <c r="AO573" s="480"/>
      <c r="AP573" s="787"/>
      <c r="AQ573" s="51"/>
    </row>
    <row r="574" spans="1:43" s="464" customFormat="1" ht="28.5" customHeight="1">
      <c r="A574" s="491" t="s">
        <v>511</v>
      </c>
      <c r="B574" s="756" t="s">
        <v>2415</v>
      </c>
      <c r="C574" s="445" t="s">
        <v>2414</v>
      </c>
      <c r="D574" s="449" t="s">
        <v>707</v>
      </c>
      <c r="E574" s="445" t="s">
        <v>2416</v>
      </c>
      <c r="F574" s="480">
        <v>1</v>
      </c>
      <c r="G574" s="445" t="s">
        <v>2857</v>
      </c>
      <c r="H574" s="490" t="s">
        <v>968</v>
      </c>
      <c r="I574" s="455" t="s">
        <v>911</v>
      </c>
      <c r="J574" s="419" t="s">
        <v>1577</v>
      </c>
      <c r="K574" s="533" t="s">
        <v>2001</v>
      </c>
      <c r="L574" s="505">
        <f>O574/4.75</f>
        <v>337.62126315789476</v>
      </c>
      <c r="M574" s="505">
        <v>100</v>
      </c>
      <c r="N574" s="805">
        <v>39539</v>
      </c>
      <c r="O574" s="478">
        <v>1603.701</v>
      </c>
      <c r="P574" s="890" t="s">
        <v>1732</v>
      </c>
      <c r="Q574" s="1090">
        <f>95.546+120.247+138.833</f>
        <v>354.62599999999998</v>
      </c>
      <c r="R574" s="478"/>
      <c r="S574" s="478"/>
      <c r="T574" s="848">
        <v>40436</v>
      </c>
      <c r="U574" s="479">
        <v>40908</v>
      </c>
      <c r="V574" s="478">
        <v>1032.021624177539</v>
      </c>
      <c r="W574" s="400">
        <f t="shared" si="29"/>
        <v>0.34362264480903315</v>
      </c>
      <c r="X574" s="549" t="s">
        <v>728</v>
      </c>
      <c r="Y574" s="419" t="s">
        <v>2417</v>
      </c>
      <c r="Z574" s="532" t="s">
        <v>2418</v>
      </c>
      <c r="AA574" s="1006">
        <v>39289</v>
      </c>
      <c r="AB574" s="848">
        <v>40645</v>
      </c>
      <c r="AC574" s="880">
        <v>40456</v>
      </c>
      <c r="AD574" s="479">
        <v>40072</v>
      </c>
      <c r="AE574" s="479"/>
      <c r="AF574" s="479"/>
      <c r="AG574" s="480"/>
      <c r="AH574" s="505"/>
      <c r="AI574" s="478"/>
      <c r="AJ574" s="480">
        <v>100</v>
      </c>
      <c r="AK574" s="480"/>
      <c r="AL574" s="480"/>
      <c r="AM574" s="480"/>
      <c r="AN574" s="480"/>
      <c r="AO574" s="480"/>
      <c r="AP574" s="787"/>
      <c r="AQ574" s="781"/>
    </row>
    <row r="575" spans="1:43" s="464" customFormat="1" ht="27.75" customHeight="1">
      <c r="A575" s="491" t="s">
        <v>2436</v>
      </c>
      <c r="B575" s="801" t="s">
        <v>2472</v>
      </c>
      <c r="C575" s="445" t="s">
        <v>2413</v>
      </c>
      <c r="D575" s="449" t="s">
        <v>707</v>
      </c>
      <c r="E575" s="445" t="s">
        <v>1760</v>
      </c>
      <c r="F575" s="480">
        <v>1</v>
      </c>
      <c r="G575" s="480"/>
      <c r="H575" s="490" t="s">
        <v>968</v>
      </c>
      <c r="I575" s="724" t="s">
        <v>911</v>
      </c>
      <c r="J575" s="552" t="s">
        <v>1069</v>
      </c>
      <c r="K575" s="533" t="s">
        <v>2001</v>
      </c>
      <c r="L575" s="505">
        <f>O575/3.167</f>
        <v>47.020208399115887</v>
      </c>
      <c r="M575" s="505">
        <v>0</v>
      </c>
      <c r="N575" s="805">
        <v>40118</v>
      </c>
      <c r="O575" s="478">
        <v>148.91300000000001</v>
      </c>
      <c r="P575" s="886" t="s">
        <v>728</v>
      </c>
      <c r="Q575" s="1090">
        <f>52.228+43.312</f>
        <v>95.539999999999992</v>
      </c>
      <c r="R575" s="478"/>
      <c r="S575" s="478"/>
      <c r="T575" s="848">
        <v>40766</v>
      </c>
      <c r="U575" s="479">
        <v>41243</v>
      </c>
      <c r="V575" s="478">
        <v>144.92529986028867</v>
      </c>
      <c r="W575" s="400">
        <f t="shared" si="29"/>
        <v>0.65923617264965295</v>
      </c>
      <c r="X575" s="543" t="s">
        <v>728</v>
      </c>
      <c r="Y575" s="445" t="s">
        <v>1048</v>
      </c>
      <c r="Z575" s="532" t="s">
        <v>2433</v>
      </c>
      <c r="AA575" s="479">
        <v>40660</v>
      </c>
      <c r="AB575" s="848"/>
      <c r="AC575" s="880">
        <v>40604</v>
      </c>
      <c r="AD575" s="479">
        <v>40504</v>
      </c>
      <c r="AE575" s="479"/>
      <c r="AF575" s="479"/>
      <c r="AG575" s="480"/>
      <c r="AH575" s="505">
        <v>2</v>
      </c>
      <c r="AI575" s="842"/>
      <c r="AJ575" s="480"/>
      <c r="AK575" s="480"/>
      <c r="AL575" s="480"/>
      <c r="AM575" s="480"/>
      <c r="AN575" s="480"/>
      <c r="AO575" s="532" t="s">
        <v>2432</v>
      </c>
      <c r="AP575" s="787"/>
      <c r="AQ575" s="51"/>
    </row>
    <row r="576" spans="1:43" s="464" customFormat="1" ht="28.5" customHeight="1">
      <c r="A576" s="491" t="s">
        <v>2505</v>
      </c>
      <c r="B576" s="468" t="s">
        <v>2517</v>
      </c>
      <c r="C576" s="445" t="s">
        <v>2504</v>
      </c>
      <c r="D576" s="449" t="s">
        <v>707</v>
      </c>
      <c r="E576" s="445" t="s">
        <v>229</v>
      </c>
      <c r="F576" s="419">
        <v>1</v>
      </c>
      <c r="G576" s="419"/>
      <c r="H576" s="421" t="s">
        <v>968</v>
      </c>
      <c r="I576" s="455" t="s">
        <v>911</v>
      </c>
      <c r="J576" s="419" t="s">
        <v>1577</v>
      </c>
      <c r="K576" s="448" t="s">
        <v>2001</v>
      </c>
      <c r="L576" s="423">
        <f>O576/5</f>
        <v>1536.4713999999999</v>
      </c>
      <c r="M576" s="423">
        <v>-150</v>
      </c>
      <c r="N576" s="431">
        <v>39783</v>
      </c>
      <c r="O576" s="425">
        <v>7682.357</v>
      </c>
      <c r="P576" s="493" t="s">
        <v>728</v>
      </c>
      <c r="Q576" s="1087">
        <f>3719.114+731.031+1029.733+556.836+607.349+595.676+576.665+639.855+790.297</f>
        <v>9246.5560000000023</v>
      </c>
      <c r="R576" s="425"/>
      <c r="S576" s="425"/>
      <c r="T576" s="733">
        <v>40766</v>
      </c>
      <c r="U576" s="444">
        <v>41274</v>
      </c>
      <c r="V576" s="425">
        <v>6556.7298401276039</v>
      </c>
      <c r="W576" s="400">
        <f t="shared" si="29"/>
        <v>1.410238979713712</v>
      </c>
      <c r="X576" s="543" t="s">
        <v>728</v>
      </c>
      <c r="Y576" s="445" t="s">
        <v>3242</v>
      </c>
      <c r="Z576" s="419" t="s">
        <v>2511</v>
      </c>
      <c r="AA576" s="444">
        <v>40694</v>
      </c>
      <c r="AB576" s="733"/>
      <c r="AC576" s="881">
        <v>40674</v>
      </c>
      <c r="AD576" s="444">
        <v>40575</v>
      </c>
      <c r="AE576" s="444"/>
      <c r="AF576" s="444"/>
      <c r="AG576" s="419"/>
      <c r="AH576" s="423">
        <v>0</v>
      </c>
      <c r="AI576" s="425"/>
      <c r="AJ576" s="423">
        <f>2200</f>
        <v>2200</v>
      </c>
      <c r="AK576" s="423">
        <f>AJ576*1000/L576</f>
        <v>1431.8522297258512</v>
      </c>
      <c r="AL576" s="419"/>
      <c r="AM576" s="419"/>
      <c r="AN576" s="419"/>
      <c r="AO576" s="419"/>
      <c r="AP576" s="530"/>
      <c r="AQ576" s="782"/>
    </row>
    <row r="577" spans="1:43" s="464" customFormat="1" ht="15" customHeight="1">
      <c r="A577" s="491" t="s">
        <v>2515</v>
      </c>
      <c r="B577" s="499" t="s">
        <v>2558</v>
      </c>
      <c r="C577" s="445" t="s">
        <v>2521</v>
      </c>
      <c r="D577" s="449" t="s">
        <v>707</v>
      </c>
      <c r="E577" s="445" t="s">
        <v>603</v>
      </c>
      <c r="F577" s="419">
        <v>1</v>
      </c>
      <c r="G577" s="419"/>
      <c r="H577" s="421" t="s">
        <v>968</v>
      </c>
      <c r="I577" s="455" t="s">
        <v>911</v>
      </c>
      <c r="J577" s="420" t="s">
        <v>1577</v>
      </c>
      <c r="K577" s="448" t="s">
        <v>2001</v>
      </c>
      <c r="L577" s="423">
        <f>O577/5</f>
        <v>347.63040000000001</v>
      </c>
      <c r="M577" s="423">
        <v>0</v>
      </c>
      <c r="N577" s="431">
        <v>39448</v>
      </c>
      <c r="O577" s="425">
        <v>1738.152</v>
      </c>
      <c r="P577" s="493" t="s">
        <v>728</v>
      </c>
      <c r="Q577" s="1087">
        <f>469.057+279.504+297.41+270.587+555.341</f>
        <v>1871.8989999999999</v>
      </c>
      <c r="R577" s="425"/>
      <c r="S577" s="425"/>
      <c r="T577" s="733">
        <v>40758</v>
      </c>
      <c r="U577" s="444">
        <v>40968</v>
      </c>
      <c r="V577" s="425">
        <v>1447.6663232876713</v>
      </c>
      <c r="W577" s="400">
        <f t="shared" si="29"/>
        <v>1.2930458973093262</v>
      </c>
      <c r="X577" s="543" t="s">
        <v>728</v>
      </c>
      <c r="Y577" s="445" t="s">
        <v>2522</v>
      </c>
      <c r="Z577" s="445" t="s">
        <v>2523</v>
      </c>
      <c r="AA577" s="444">
        <v>40710</v>
      </c>
      <c r="AB577" s="733"/>
      <c r="AC577" s="881">
        <v>40694</v>
      </c>
      <c r="AD577" s="444">
        <v>40647</v>
      </c>
      <c r="AE577" s="444"/>
      <c r="AF577" s="444"/>
      <c r="AG577" s="419"/>
      <c r="AH577" s="423">
        <v>0</v>
      </c>
      <c r="AI577" s="425"/>
      <c r="AJ577" s="736"/>
      <c r="AK577" s="423"/>
      <c r="AL577" s="419"/>
      <c r="AM577" s="419"/>
      <c r="AN577" s="419"/>
      <c r="AO577" s="419"/>
      <c r="AP577" s="530"/>
      <c r="AQ577" s="782"/>
    </row>
    <row r="578" spans="1:43" s="464" customFormat="1" ht="15" customHeight="1">
      <c r="A578" s="491" t="s">
        <v>2550</v>
      </c>
      <c r="B578" s="59" t="s">
        <v>2562</v>
      </c>
      <c r="C578" s="445" t="s">
        <v>2561</v>
      </c>
      <c r="D578" s="449" t="s">
        <v>707</v>
      </c>
      <c r="E578" s="445" t="s">
        <v>822</v>
      </c>
      <c r="F578" s="419">
        <v>1</v>
      </c>
      <c r="G578" s="419"/>
      <c r="H578" s="421" t="s">
        <v>968</v>
      </c>
      <c r="I578" s="455" t="s">
        <v>3238</v>
      </c>
      <c r="J578" s="420" t="s">
        <v>1943</v>
      </c>
      <c r="K578" s="455" t="s">
        <v>2127</v>
      </c>
      <c r="L578" s="423">
        <v>177.01300000000001</v>
      </c>
      <c r="M578" s="423">
        <v>0</v>
      </c>
      <c r="N578" s="431">
        <v>39448</v>
      </c>
      <c r="O578" s="425">
        <v>885.06299999999999</v>
      </c>
      <c r="P578" s="493" t="s">
        <v>728</v>
      </c>
      <c r="Q578" s="1087">
        <f>226.547+41.273</f>
        <v>267.82</v>
      </c>
      <c r="R578" s="425"/>
      <c r="S578" s="425"/>
      <c r="T578" s="733">
        <v>40731</v>
      </c>
      <c r="U578" s="444">
        <v>40968</v>
      </c>
      <c r="V578" s="425">
        <v>737.15002739726026</v>
      </c>
      <c r="W578" s="400">
        <f t="shared" si="29"/>
        <v>0.36331817139805672</v>
      </c>
      <c r="X578" s="543" t="s">
        <v>728</v>
      </c>
      <c r="Y578" s="445" t="s">
        <v>2112</v>
      </c>
      <c r="Z578" s="445" t="s">
        <v>2112</v>
      </c>
      <c r="AA578" s="444">
        <v>40745</v>
      </c>
      <c r="AB578" s="733"/>
      <c r="AC578" s="881">
        <v>40694</v>
      </c>
      <c r="AD578" s="444">
        <v>40654</v>
      </c>
      <c r="AE578" s="444"/>
      <c r="AF578" s="444"/>
      <c r="AG578" s="419"/>
      <c r="AH578" s="419"/>
      <c r="AI578" s="419"/>
      <c r="AJ578" s="419"/>
      <c r="AK578" s="419"/>
      <c r="AL578" s="419"/>
      <c r="AM578" s="419"/>
      <c r="AN578" s="419"/>
      <c r="AO578" s="419"/>
      <c r="AP578" s="463"/>
      <c r="AQ578" s="51"/>
    </row>
    <row r="579" spans="1:43" s="464" customFormat="1" ht="24.75" customHeight="1">
      <c r="A579" s="491" t="s">
        <v>2435</v>
      </c>
      <c r="B579" s="801" t="s">
        <v>2569</v>
      </c>
      <c r="C579" s="445" t="s">
        <v>2412</v>
      </c>
      <c r="D579" s="449" t="s">
        <v>707</v>
      </c>
      <c r="E579" s="445" t="s">
        <v>2426</v>
      </c>
      <c r="F579" s="480">
        <v>1</v>
      </c>
      <c r="G579" s="445" t="s">
        <v>4052</v>
      </c>
      <c r="H579" s="490" t="s">
        <v>968</v>
      </c>
      <c r="I579" s="394" t="s">
        <v>3238</v>
      </c>
      <c r="J579" s="984" t="s">
        <v>450</v>
      </c>
      <c r="K579" s="724" t="s">
        <v>2427</v>
      </c>
      <c r="L579" s="478">
        <f>O579/5</f>
        <v>40.657200000000003</v>
      </c>
      <c r="M579" s="505">
        <v>0</v>
      </c>
      <c r="N579" s="805">
        <v>40118</v>
      </c>
      <c r="O579" s="478">
        <v>203.286</v>
      </c>
      <c r="P579" s="999" t="s">
        <v>1486</v>
      </c>
      <c r="Q579" s="1090">
        <f>19.454</f>
        <v>19.454000000000001</v>
      </c>
      <c r="R579" s="478"/>
      <c r="S579" s="478"/>
      <c r="T579" s="848">
        <v>40777</v>
      </c>
      <c r="U579" s="479">
        <v>40543</v>
      </c>
      <c r="V579" s="478">
        <v>47.340575342465755</v>
      </c>
      <c r="W579" s="400">
        <f t="shared" si="29"/>
        <v>0.41093712654035375</v>
      </c>
      <c r="X579" s="549" t="s">
        <v>728</v>
      </c>
      <c r="Y579" s="445" t="s">
        <v>2424</v>
      </c>
      <c r="Z579" s="445" t="s">
        <v>2428</v>
      </c>
      <c r="AA579" s="479">
        <v>40647</v>
      </c>
      <c r="AB579" s="848"/>
      <c r="AC579" s="880">
        <v>40632</v>
      </c>
      <c r="AD579" s="479">
        <v>40353</v>
      </c>
      <c r="AE579" s="479"/>
      <c r="AF579" s="479"/>
      <c r="AG579" s="480"/>
      <c r="AH579" s="505">
        <f>2+3.3</f>
        <v>5.3</v>
      </c>
      <c r="AI579" s="478">
        <f>42239/AH579</f>
        <v>7969.6226415094343</v>
      </c>
      <c r="AJ579" s="480"/>
      <c r="AK579" s="480"/>
      <c r="AL579" s="480"/>
      <c r="AM579" s="480"/>
      <c r="AN579" s="480"/>
      <c r="AO579" s="532" t="s">
        <v>2425</v>
      </c>
      <c r="AP579" s="787"/>
      <c r="AQ579" s="781"/>
    </row>
    <row r="580" spans="1:43" s="464" customFormat="1" ht="24.75" customHeight="1">
      <c r="A580" s="491" t="s">
        <v>2564</v>
      </c>
      <c r="B580" s="468" t="s">
        <v>2576</v>
      </c>
      <c r="C580" s="445" t="s">
        <v>2573</v>
      </c>
      <c r="D580" s="449" t="s">
        <v>707</v>
      </c>
      <c r="E580" s="445" t="s">
        <v>2421</v>
      </c>
      <c r="F580" s="419">
        <v>1</v>
      </c>
      <c r="G580" s="419"/>
      <c r="H580" s="421" t="s">
        <v>968</v>
      </c>
      <c r="I580" s="729" t="s">
        <v>911</v>
      </c>
      <c r="J580" s="420" t="s">
        <v>1577</v>
      </c>
      <c r="K580" s="455" t="s">
        <v>2001</v>
      </c>
      <c r="L580" s="423">
        <v>92.26</v>
      </c>
      <c r="M580" s="423">
        <v>0</v>
      </c>
      <c r="N580" s="431">
        <v>39448</v>
      </c>
      <c r="O580" s="425">
        <v>461.3</v>
      </c>
      <c r="P580" s="493" t="s">
        <v>728</v>
      </c>
      <c r="Q580" s="1087">
        <f>280.812+56.719+96.645</f>
        <v>434.17599999999999</v>
      </c>
      <c r="R580" s="425"/>
      <c r="S580" s="425"/>
      <c r="T580" s="733">
        <v>40777</v>
      </c>
      <c r="U580" s="444">
        <v>40968</v>
      </c>
      <c r="V580" s="425">
        <v>384.2060273972603</v>
      </c>
      <c r="W580" s="400">
        <f t="shared" si="29"/>
        <v>1.1300603557452051</v>
      </c>
      <c r="X580" s="543" t="s">
        <v>728</v>
      </c>
      <c r="Y580" s="445" t="s">
        <v>2893</v>
      </c>
      <c r="Z580" s="445" t="s">
        <v>2572</v>
      </c>
      <c r="AA580" s="444">
        <v>40751</v>
      </c>
      <c r="AB580" s="733"/>
      <c r="AC580" s="881">
        <v>40716</v>
      </c>
      <c r="AD580" s="444">
        <v>40659</v>
      </c>
      <c r="AE580" s="444"/>
      <c r="AF580" s="444"/>
      <c r="AG580" s="419"/>
      <c r="AH580" s="419"/>
      <c r="AI580" s="419"/>
      <c r="AJ580" s="419"/>
      <c r="AK580" s="419"/>
      <c r="AL580" s="419"/>
      <c r="AM580" s="419"/>
      <c r="AN580" s="419"/>
      <c r="AO580" s="419"/>
      <c r="AP580" s="463"/>
      <c r="AQ580" s="51"/>
    </row>
    <row r="581" spans="1:43" s="464" customFormat="1" ht="39.75" customHeight="1">
      <c r="A581" s="491" t="s">
        <v>2594</v>
      </c>
      <c r="B581" s="59" t="s">
        <v>2586</v>
      </c>
      <c r="C581" s="445" t="s">
        <v>2581</v>
      </c>
      <c r="D581" s="449" t="s">
        <v>707</v>
      </c>
      <c r="E581" s="445" t="s">
        <v>1627</v>
      </c>
      <c r="F581" s="419">
        <v>1</v>
      </c>
      <c r="G581" s="445" t="s">
        <v>3848</v>
      </c>
      <c r="H581" s="421" t="s">
        <v>968</v>
      </c>
      <c r="I581" s="455" t="s">
        <v>1467</v>
      </c>
      <c r="J581" s="449" t="s">
        <v>2584</v>
      </c>
      <c r="K581" s="533" t="s">
        <v>2001</v>
      </c>
      <c r="L581" s="423">
        <f>O581/5</f>
        <v>362.17539999999997</v>
      </c>
      <c r="M581" s="423">
        <v>0</v>
      </c>
      <c r="N581" s="431">
        <v>39448</v>
      </c>
      <c r="O581" s="425">
        <v>1810.877</v>
      </c>
      <c r="P581" s="493" t="s">
        <v>728</v>
      </c>
      <c r="Q581" s="1087">
        <f>1331.242+208.47+475.556</f>
        <v>2015.268</v>
      </c>
      <c r="R581" s="425"/>
      <c r="S581" s="425"/>
      <c r="T581" s="733">
        <v>40806</v>
      </c>
      <c r="U581" s="444">
        <v>41152</v>
      </c>
      <c r="V581" s="425">
        <v>1690.8133742465752</v>
      </c>
      <c r="W581" s="400">
        <f t="shared" si="29"/>
        <v>1.1918926303135031</v>
      </c>
      <c r="X581" s="543" t="s">
        <v>728</v>
      </c>
      <c r="Y581" s="532" t="s">
        <v>2112</v>
      </c>
      <c r="Z581" s="532" t="s">
        <v>2585</v>
      </c>
      <c r="AA581" s="444">
        <v>40758</v>
      </c>
      <c r="AB581" s="733"/>
      <c r="AC581" s="881">
        <v>40751</v>
      </c>
      <c r="AD581" s="444">
        <v>40718</v>
      </c>
      <c r="AE581" s="444"/>
      <c r="AF581" s="444"/>
      <c r="AG581" s="419"/>
      <c r="AH581" s="419"/>
      <c r="AI581" s="419"/>
      <c r="AJ581" s="419"/>
      <c r="AK581" s="419"/>
      <c r="AL581" s="419"/>
      <c r="AM581" s="419"/>
      <c r="AN581" s="419"/>
      <c r="AO581" s="445" t="s">
        <v>2582</v>
      </c>
      <c r="AP581" s="463"/>
      <c r="AQ581" s="51"/>
    </row>
    <row r="582" spans="1:43" s="464" customFormat="1" ht="15" customHeight="1">
      <c r="A582" s="491" t="s">
        <v>2565</v>
      </c>
      <c r="B582" s="801" t="s">
        <v>2587</v>
      </c>
      <c r="C582" s="445" t="s">
        <v>2566</v>
      </c>
      <c r="D582" s="449" t="s">
        <v>707</v>
      </c>
      <c r="E582" s="445" t="s">
        <v>2416</v>
      </c>
      <c r="F582" s="419">
        <v>1</v>
      </c>
      <c r="G582" s="419"/>
      <c r="H582" s="421" t="s">
        <v>968</v>
      </c>
      <c r="I582" s="729" t="s">
        <v>911</v>
      </c>
      <c r="J582" s="419" t="s">
        <v>1577</v>
      </c>
      <c r="K582" s="455" t="s">
        <v>2567</v>
      </c>
      <c r="L582" s="423">
        <v>1652.4780000000001</v>
      </c>
      <c r="M582" s="423">
        <v>0</v>
      </c>
      <c r="N582" s="431">
        <v>39448</v>
      </c>
      <c r="O582" s="425">
        <v>8262.3889999999992</v>
      </c>
      <c r="P582" s="445" t="s">
        <v>728</v>
      </c>
      <c r="Q582" s="1087">
        <f>3024.672+501.99+1095.693+381.018+353.686</f>
        <v>5357.0590000000002</v>
      </c>
      <c r="R582" s="425"/>
      <c r="S582" s="425"/>
      <c r="T582" s="733">
        <v>40761</v>
      </c>
      <c r="U582" s="444">
        <v>41090</v>
      </c>
      <c r="V582" s="425">
        <v>7433.8873315068504</v>
      </c>
      <c r="W582" s="400">
        <f t="shared" si="29"/>
        <v>0.72062687542967152</v>
      </c>
      <c r="X582" s="543" t="s">
        <v>728</v>
      </c>
      <c r="Y582" s="445" t="s">
        <v>3243</v>
      </c>
      <c r="Z582" s="445" t="s">
        <v>1084</v>
      </c>
      <c r="AA582" s="444">
        <v>40752</v>
      </c>
      <c r="AB582" s="733"/>
      <c r="AC582" s="881">
        <v>40739</v>
      </c>
      <c r="AD582" s="444">
        <v>40639</v>
      </c>
      <c r="AE582" s="444"/>
      <c r="AF582" s="444"/>
      <c r="AG582" s="419"/>
      <c r="AH582" s="419"/>
      <c r="AI582" s="419"/>
      <c r="AJ582" s="419"/>
      <c r="AK582" s="419"/>
      <c r="AL582" s="419"/>
      <c r="AM582" s="419"/>
      <c r="AN582" s="419"/>
      <c r="AO582" s="419"/>
      <c r="AP582" s="463"/>
      <c r="AQ582" s="794"/>
    </row>
    <row r="583" spans="1:43" s="464" customFormat="1" ht="15" customHeight="1">
      <c r="A583" s="491" t="s">
        <v>2651</v>
      </c>
      <c r="B583" s="468" t="s">
        <v>2611</v>
      </c>
      <c r="C583" s="445" t="s">
        <v>2596</v>
      </c>
      <c r="D583" s="449" t="s">
        <v>707</v>
      </c>
      <c r="E583" s="445" t="s">
        <v>1998</v>
      </c>
      <c r="F583" s="419">
        <v>1</v>
      </c>
      <c r="G583" s="419"/>
      <c r="H583" s="421" t="s">
        <v>968</v>
      </c>
      <c r="I583" s="455" t="s">
        <v>911</v>
      </c>
      <c r="J583" s="445" t="s">
        <v>1069</v>
      </c>
      <c r="K583" s="455" t="s">
        <v>2001</v>
      </c>
      <c r="L583" s="423">
        <v>337.16699999999997</v>
      </c>
      <c r="M583" s="423">
        <v>0</v>
      </c>
      <c r="N583" s="431">
        <v>39448</v>
      </c>
      <c r="O583" s="425">
        <v>1685.837</v>
      </c>
      <c r="P583" s="445" t="s">
        <v>728</v>
      </c>
      <c r="Q583" s="1087">
        <f>1061.174+125.846+91.588+110.332</f>
        <v>1388.94</v>
      </c>
      <c r="R583" s="425"/>
      <c r="S583" s="425"/>
      <c r="T583" s="733">
        <v>40778</v>
      </c>
      <c r="U583" s="444">
        <v>40999</v>
      </c>
      <c r="V583" s="425">
        <v>1432.7288136986301</v>
      </c>
      <c r="W583" s="400">
        <f t="shared" si="29"/>
        <v>0.9694367745801189</v>
      </c>
      <c r="X583" s="543" t="s">
        <v>728</v>
      </c>
      <c r="Y583" s="445" t="s">
        <v>3244</v>
      </c>
      <c r="Z583" s="419" t="s">
        <v>1084</v>
      </c>
      <c r="AA583" s="444">
        <v>40778</v>
      </c>
      <c r="AB583" s="733"/>
      <c r="AC583" s="881">
        <v>40746</v>
      </c>
      <c r="AD583" s="444">
        <v>40480</v>
      </c>
      <c r="AE583" s="444"/>
      <c r="AF583" s="444"/>
      <c r="AG583" s="419"/>
      <c r="AH583" s="419"/>
      <c r="AI583" s="419"/>
      <c r="AJ583" s="419"/>
      <c r="AK583" s="419"/>
      <c r="AL583" s="419"/>
      <c r="AM583" s="419"/>
      <c r="AN583" s="419"/>
      <c r="AO583" s="419"/>
      <c r="AP583" s="463"/>
      <c r="AQ583" s="782"/>
    </row>
    <row r="584" spans="1:43" s="464" customFormat="1" ht="27.75" customHeight="1">
      <c r="A584" s="491" t="s">
        <v>2595</v>
      </c>
      <c r="B584" s="499" t="s">
        <v>2589</v>
      </c>
      <c r="C584" s="445" t="s">
        <v>2578</v>
      </c>
      <c r="D584" s="449" t="s">
        <v>707</v>
      </c>
      <c r="E584" s="445" t="s">
        <v>1627</v>
      </c>
      <c r="F584" s="419">
        <v>1</v>
      </c>
      <c r="G584" s="419"/>
      <c r="H584" s="421" t="s">
        <v>968</v>
      </c>
      <c r="I584" s="455" t="s">
        <v>971</v>
      </c>
      <c r="J584" s="449" t="s">
        <v>1321</v>
      </c>
      <c r="K584" s="455" t="s">
        <v>680</v>
      </c>
      <c r="L584" s="423">
        <f>O584/5</f>
        <v>42.052599999999998</v>
      </c>
      <c r="M584" s="423">
        <v>5</v>
      </c>
      <c r="N584" s="431">
        <v>39448</v>
      </c>
      <c r="O584" s="425">
        <v>210.26300000000001</v>
      </c>
      <c r="P584" s="445" t="s">
        <v>728</v>
      </c>
      <c r="Q584" s="1087">
        <f>48.669+38.304+19.633</f>
        <v>106.60599999999999</v>
      </c>
      <c r="R584" s="425"/>
      <c r="S584" s="425"/>
      <c r="T584" s="733">
        <v>40750</v>
      </c>
      <c r="U584" s="444">
        <v>40786</v>
      </c>
      <c r="V584" s="425">
        <v>141.92691508350535</v>
      </c>
      <c r="W584" s="400">
        <f t="shared" si="29"/>
        <v>0.75113307392946826</v>
      </c>
      <c r="X584" s="543" t="s">
        <v>728</v>
      </c>
      <c r="Y584" s="391" t="s">
        <v>1476</v>
      </c>
      <c r="Z584" s="445" t="s">
        <v>2580</v>
      </c>
      <c r="AA584" s="444">
        <v>40758</v>
      </c>
      <c r="AB584" s="733"/>
      <c r="AC584" s="881">
        <v>40737</v>
      </c>
      <c r="AD584" s="444">
        <v>40507</v>
      </c>
      <c r="AE584" s="444"/>
      <c r="AF584" s="444"/>
      <c r="AG584" s="419"/>
      <c r="AH584" s="419">
        <f>25.848-20.528</f>
        <v>5.32</v>
      </c>
      <c r="AI584" s="419"/>
      <c r="AJ584" s="419"/>
      <c r="AK584" s="419"/>
      <c r="AL584" s="419"/>
      <c r="AM584" s="419"/>
      <c r="AN584" s="419"/>
      <c r="AO584" s="445" t="s">
        <v>2579</v>
      </c>
      <c r="AP584" s="463"/>
      <c r="AQ584" s="794"/>
    </row>
    <row r="585" spans="1:43" s="464" customFormat="1" ht="15" customHeight="1">
      <c r="A585" s="491" t="s">
        <v>2652</v>
      </c>
      <c r="B585" s="468" t="s">
        <v>2610</v>
      </c>
      <c r="C585" s="445" t="s">
        <v>2597</v>
      </c>
      <c r="D585" s="449" t="s">
        <v>707</v>
      </c>
      <c r="E585" s="445" t="s">
        <v>2416</v>
      </c>
      <c r="F585" s="419">
        <v>1</v>
      </c>
      <c r="G585" s="419"/>
      <c r="H585" s="421" t="s">
        <v>968</v>
      </c>
      <c r="I585" s="448" t="s">
        <v>911</v>
      </c>
      <c r="J585" s="420" t="s">
        <v>1577</v>
      </c>
      <c r="K585" s="724" t="s">
        <v>2556</v>
      </c>
      <c r="L585" s="423">
        <v>1232.2349999999999</v>
      </c>
      <c r="M585" s="423">
        <v>0</v>
      </c>
      <c r="N585" s="431">
        <v>39448</v>
      </c>
      <c r="O585" s="425">
        <v>5236.9989999999998</v>
      </c>
      <c r="P585" s="493" t="s">
        <v>728</v>
      </c>
      <c r="Q585" s="1087">
        <f>1770.205+1140.132+351.45+345.782</f>
        <v>3607.569</v>
      </c>
      <c r="R585" s="425"/>
      <c r="S585" s="425"/>
      <c r="T585" s="733">
        <v>40802</v>
      </c>
      <c r="U585" s="444">
        <v>41090</v>
      </c>
      <c r="V585" s="425">
        <v>5543.3695068493153</v>
      </c>
      <c r="W585" s="400">
        <f t="shared" si="29"/>
        <v>0.65078992038011085</v>
      </c>
      <c r="X585" s="543" t="s">
        <v>728</v>
      </c>
      <c r="Y585" s="445" t="s">
        <v>2602</v>
      </c>
      <c r="Z585" s="419" t="s">
        <v>2511</v>
      </c>
      <c r="AA585" s="444">
        <v>40781</v>
      </c>
      <c r="AB585" s="733"/>
      <c r="AC585" s="881">
        <v>40763</v>
      </c>
      <c r="AD585" s="444">
        <v>40480</v>
      </c>
      <c r="AE585" s="444"/>
      <c r="AF585" s="444"/>
      <c r="AG585" s="419"/>
      <c r="AH585" s="419"/>
      <c r="AI585" s="419"/>
      <c r="AJ585" s="419"/>
      <c r="AK585" s="419"/>
      <c r="AL585" s="419"/>
      <c r="AM585" s="419"/>
      <c r="AN585" s="419"/>
      <c r="AO585" s="419"/>
      <c r="AP585" s="463"/>
      <c r="AQ585" s="51"/>
    </row>
    <row r="586" spans="1:43" s="464" customFormat="1" ht="29.25" customHeight="1">
      <c r="A586" s="491" t="s">
        <v>2653</v>
      </c>
      <c r="B586" s="468" t="s">
        <v>2609</v>
      </c>
      <c r="C586" s="445" t="s">
        <v>2607</v>
      </c>
      <c r="D586" s="449" t="s">
        <v>707</v>
      </c>
      <c r="E586" s="445" t="s">
        <v>1043</v>
      </c>
      <c r="F586" s="419">
        <v>1</v>
      </c>
      <c r="G586" s="419"/>
      <c r="H586" s="421" t="s">
        <v>968</v>
      </c>
      <c r="I586" s="471" t="s">
        <v>1548</v>
      </c>
      <c r="J586" s="419" t="s">
        <v>235</v>
      </c>
      <c r="K586" s="455" t="s">
        <v>746</v>
      </c>
      <c r="L586" s="423">
        <v>365.81</v>
      </c>
      <c r="M586" s="423">
        <v>0</v>
      </c>
      <c r="N586" s="431">
        <v>39448</v>
      </c>
      <c r="O586" s="425">
        <f>L586*5</f>
        <v>1829.05</v>
      </c>
      <c r="P586" s="445" t="s">
        <v>728</v>
      </c>
      <c r="Q586" s="1087">
        <f>1335.087+183.782+248.765</f>
        <v>1767.634</v>
      </c>
      <c r="R586" s="425"/>
      <c r="S586" s="425"/>
      <c r="T586" s="733">
        <v>40805</v>
      </c>
      <c r="U586" s="444">
        <v>41213</v>
      </c>
      <c r="V586" s="425">
        <v>1768.9168493150685</v>
      </c>
      <c r="W586" s="400">
        <f t="shared" si="29"/>
        <v>0.99927478257920088</v>
      </c>
      <c r="X586" s="543" t="s">
        <v>728</v>
      </c>
      <c r="Y586" s="445" t="s">
        <v>2112</v>
      </c>
      <c r="Z586" s="445" t="s">
        <v>2646</v>
      </c>
      <c r="AA586" s="444">
        <v>40802</v>
      </c>
      <c r="AB586" s="733"/>
      <c r="AC586" s="881">
        <v>40791</v>
      </c>
      <c r="AD586" s="444">
        <v>40749</v>
      </c>
      <c r="AE586" s="444"/>
      <c r="AF586" s="444"/>
      <c r="AG586" s="419"/>
      <c r="AH586" s="419"/>
      <c r="AI586" s="419"/>
      <c r="AJ586" s="419"/>
      <c r="AK586" s="419"/>
      <c r="AL586" s="419"/>
      <c r="AM586" s="419"/>
      <c r="AN586" s="419"/>
      <c r="AO586" s="419"/>
      <c r="AP586" s="463"/>
      <c r="AQ586" s="466"/>
    </row>
    <row r="587" spans="1:43" s="464" customFormat="1" ht="15" customHeight="1">
      <c r="A587" s="491" t="s">
        <v>2598</v>
      </c>
      <c r="B587" s="468" t="s">
        <v>2608</v>
      </c>
      <c r="C587" s="445" t="s">
        <v>2612</v>
      </c>
      <c r="D587" s="449" t="s">
        <v>707</v>
      </c>
      <c r="E587" s="445" t="s">
        <v>822</v>
      </c>
      <c r="F587" s="419">
        <v>1</v>
      </c>
      <c r="G587" s="419"/>
      <c r="H587" s="421" t="s">
        <v>968</v>
      </c>
      <c r="I587" s="471" t="s">
        <v>256</v>
      </c>
      <c r="J587" s="420" t="s">
        <v>1830</v>
      </c>
      <c r="K587" s="455" t="s">
        <v>882</v>
      </c>
      <c r="L587" s="423">
        <v>959.86099999999999</v>
      </c>
      <c r="M587" s="423">
        <v>0</v>
      </c>
      <c r="N587" s="431">
        <v>39448</v>
      </c>
      <c r="O587" s="425">
        <f>L587*5</f>
        <v>4799.3050000000003</v>
      </c>
      <c r="P587" s="493" t="s">
        <v>728</v>
      </c>
      <c r="Q587" s="1087">
        <f>3617.064+552.047+642.561+505.83</f>
        <v>5317.5019999999995</v>
      </c>
      <c r="R587" s="425"/>
      <c r="S587" s="425"/>
      <c r="T587" s="733">
        <v>40801</v>
      </c>
      <c r="U587" s="444">
        <v>41274</v>
      </c>
      <c r="V587" s="425">
        <v>4801.9347561643835</v>
      </c>
      <c r="W587" s="400">
        <f t="shared" si="29"/>
        <v>1.1073665657730496</v>
      </c>
      <c r="X587" s="543" t="s">
        <v>728</v>
      </c>
      <c r="Y587" s="445" t="s">
        <v>2112</v>
      </c>
      <c r="Z587" s="445" t="s">
        <v>2646</v>
      </c>
      <c r="AA587" s="444">
        <v>40802</v>
      </c>
      <c r="AB587" s="733"/>
      <c r="AC587" s="881">
        <v>40791</v>
      </c>
      <c r="AD587" s="444">
        <v>40765</v>
      </c>
      <c r="AE587" s="444"/>
      <c r="AF587" s="444"/>
      <c r="AG587" s="419"/>
      <c r="AH587" s="423">
        <v>0</v>
      </c>
      <c r="AI587" s="419"/>
      <c r="AJ587" s="419"/>
      <c r="AK587" s="419"/>
      <c r="AL587" s="419"/>
      <c r="AM587" s="419"/>
      <c r="AN587" s="419"/>
      <c r="AO587" s="419"/>
      <c r="AP587" s="463"/>
      <c r="AQ587" s="782"/>
    </row>
    <row r="588" spans="1:43" s="464" customFormat="1" ht="15" customHeight="1">
      <c r="A588" s="491" t="s">
        <v>2599</v>
      </c>
      <c r="B588" s="468" t="s">
        <v>2613</v>
      </c>
      <c r="C588" s="445" t="s">
        <v>2614</v>
      </c>
      <c r="D588" s="449" t="s">
        <v>707</v>
      </c>
      <c r="E588" s="445" t="s">
        <v>1831</v>
      </c>
      <c r="F588" s="419">
        <v>1</v>
      </c>
      <c r="G588" s="419"/>
      <c r="H588" s="421" t="s">
        <v>968</v>
      </c>
      <c r="I588" s="455" t="s">
        <v>1467</v>
      </c>
      <c r="J588" s="449" t="s">
        <v>2584</v>
      </c>
      <c r="K588" s="533" t="s">
        <v>2001</v>
      </c>
      <c r="L588" s="423">
        <v>347.59500000000003</v>
      </c>
      <c r="M588" s="423">
        <v>50</v>
      </c>
      <c r="N588" s="431">
        <v>39448</v>
      </c>
      <c r="O588" s="425">
        <f>L588*5</f>
        <v>1737.9750000000001</v>
      </c>
      <c r="P588" s="493" t="s">
        <v>728</v>
      </c>
      <c r="Q588" s="1087">
        <f>1175.315+626.792</f>
        <v>1802.107</v>
      </c>
      <c r="R588" s="425"/>
      <c r="S588" s="425"/>
      <c r="T588" s="733">
        <v>40806</v>
      </c>
      <c r="U588" s="444">
        <v>40908</v>
      </c>
      <c r="V588" s="425">
        <v>1290.3800000000001</v>
      </c>
      <c r="W588" s="400">
        <f t="shared" si="29"/>
        <v>1.3965707776003966</v>
      </c>
      <c r="X588" s="543" t="s">
        <v>728</v>
      </c>
      <c r="Y588" s="445" t="s">
        <v>2112</v>
      </c>
      <c r="Z588" s="445" t="s">
        <v>2646</v>
      </c>
      <c r="AA588" s="444">
        <v>40802</v>
      </c>
      <c r="AB588" s="733"/>
      <c r="AC588" s="881">
        <v>40772</v>
      </c>
      <c r="AD588" s="444">
        <v>40732</v>
      </c>
      <c r="AE588" s="444"/>
      <c r="AF588" s="444"/>
      <c r="AG588" s="419"/>
      <c r="AH588" s="419"/>
      <c r="AI588" s="419"/>
      <c r="AJ588" s="419"/>
      <c r="AK588" s="419"/>
      <c r="AL588" s="419"/>
      <c r="AM588" s="419"/>
      <c r="AN588" s="419"/>
      <c r="AO588" s="419"/>
      <c r="AP588" s="463"/>
      <c r="AQ588" s="782"/>
    </row>
    <row r="589" spans="1:43" s="464" customFormat="1" ht="15" customHeight="1">
      <c r="A589" s="491" t="s">
        <v>2620</v>
      </c>
      <c r="B589" s="468" t="s">
        <v>2631</v>
      </c>
      <c r="C589" s="445" t="s">
        <v>2616</v>
      </c>
      <c r="D589" s="449" t="s">
        <v>707</v>
      </c>
      <c r="E589" s="445" t="s">
        <v>1043</v>
      </c>
      <c r="F589" s="419">
        <v>1</v>
      </c>
      <c r="G589" s="419"/>
      <c r="H589" s="421" t="s">
        <v>968</v>
      </c>
      <c r="I589" s="448" t="s">
        <v>1488</v>
      </c>
      <c r="J589" s="420" t="s">
        <v>1709</v>
      </c>
      <c r="K589" s="455" t="s">
        <v>689</v>
      </c>
      <c r="L589" s="423">
        <f>O589/3</f>
        <v>58.734333333333332</v>
      </c>
      <c r="M589" s="423">
        <v>30</v>
      </c>
      <c r="N589" s="431">
        <v>40224</v>
      </c>
      <c r="O589" s="425">
        <v>176.203</v>
      </c>
      <c r="P589" s="493" t="s">
        <v>728</v>
      </c>
      <c r="Q589" s="1087">
        <v>13.617000000000001</v>
      </c>
      <c r="R589" s="425"/>
      <c r="S589" s="425"/>
      <c r="T589" s="733">
        <v>40795</v>
      </c>
      <c r="U589" s="444">
        <v>40724</v>
      </c>
      <c r="V589" s="425">
        <v>5.8661349846750444</v>
      </c>
      <c r="W589" s="400">
        <f t="shared" si="29"/>
        <v>2.321289918417095</v>
      </c>
      <c r="X589" s="543" t="s">
        <v>728</v>
      </c>
      <c r="Y589" s="445" t="s">
        <v>2648</v>
      </c>
      <c r="Z589" s="419" t="s">
        <v>7</v>
      </c>
      <c r="AA589" s="444">
        <v>40802</v>
      </c>
      <c r="AB589" s="733"/>
      <c r="AC589" s="881">
        <v>40408</v>
      </c>
      <c r="AD589" s="444">
        <v>40196</v>
      </c>
      <c r="AE589" s="444"/>
      <c r="AF589" s="444"/>
      <c r="AG589" s="419"/>
      <c r="AH589" s="419">
        <f>0.7+1.5</f>
        <v>2.2000000000000002</v>
      </c>
      <c r="AI589" s="740"/>
      <c r="AJ589" s="419"/>
      <c r="AK589" s="419"/>
      <c r="AL589" s="419"/>
      <c r="AM589" s="419"/>
      <c r="AN589" s="419"/>
      <c r="AO589" s="419"/>
      <c r="AP589" s="463"/>
      <c r="AQ589" s="782"/>
    </row>
    <row r="590" spans="1:43" s="464" customFormat="1" ht="29.25" customHeight="1">
      <c r="A590" s="491" t="s">
        <v>2622</v>
      </c>
      <c r="B590" s="468" t="s">
        <v>2632</v>
      </c>
      <c r="C590" s="445" t="s">
        <v>2618</v>
      </c>
      <c r="D590" s="449" t="s">
        <v>707</v>
      </c>
      <c r="E590" s="445" t="s">
        <v>822</v>
      </c>
      <c r="F590" s="419">
        <v>1</v>
      </c>
      <c r="G590" s="419"/>
      <c r="H590" s="421" t="s">
        <v>968</v>
      </c>
      <c r="I590" s="455" t="s">
        <v>1467</v>
      </c>
      <c r="J590" s="445" t="s">
        <v>2584</v>
      </c>
      <c r="K590" s="533" t="s">
        <v>2001</v>
      </c>
      <c r="L590" s="423">
        <v>588.29100000000005</v>
      </c>
      <c r="M590" s="423">
        <v>74</v>
      </c>
      <c r="N590" s="431">
        <v>39448</v>
      </c>
      <c r="O590" s="425">
        <f>L590*5</f>
        <v>2941.4550000000004</v>
      </c>
      <c r="P590" s="445" t="s">
        <v>728</v>
      </c>
      <c r="Q590" s="1087">
        <f>1583.207+789.87</f>
        <v>2373.0770000000002</v>
      </c>
      <c r="R590" s="425"/>
      <c r="S590" s="425"/>
      <c r="T590" s="733">
        <v>40806</v>
      </c>
      <c r="U590" s="444">
        <v>40908</v>
      </c>
      <c r="V590" s="425">
        <v>2205.1640000000002</v>
      </c>
      <c r="W590" s="400">
        <f t="shared" si="29"/>
        <v>1.0761453569893213</v>
      </c>
      <c r="X590" s="543" t="s">
        <v>728</v>
      </c>
      <c r="Y590" s="445" t="s">
        <v>2112</v>
      </c>
      <c r="Z590" s="445" t="s">
        <v>2646</v>
      </c>
      <c r="AA590" s="444">
        <v>40807</v>
      </c>
      <c r="AB590" s="733"/>
      <c r="AC590" s="881">
        <v>40798</v>
      </c>
      <c r="AD590" s="444">
        <v>40725</v>
      </c>
      <c r="AE590" s="444"/>
      <c r="AF590" s="444"/>
      <c r="AG590" s="419"/>
      <c r="AH590" s="419"/>
      <c r="AI590" s="419"/>
      <c r="AJ590" s="419"/>
      <c r="AK590" s="419"/>
      <c r="AL590" s="419"/>
      <c r="AM590" s="419"/>
      <c r="AN590" s="419"/>
      <c r="AO590" s="419"/>
      <c r="AP590" s="463"/>
      <c r="AQ590" s="51"/>
    </row>
    <row r="591" spans="1:43" s="464" customFormat="1" ht="30.75" customHeight="1">
      <c r="A591" s="491" t="s">
        <v>2619</v>
      </c>
      <c r="B591" s="468" t="s">
        <v>2630</v>
      </c>
      <c r="C591" s="445" t="s">
        <v>2615</v>
      </c>
      <c r="D591" s="449" t="s">
        <v>707</v>
      </c>
      <c r="E591" s="445" t="s">
        <v>1108</v>
      </c>
      <c r="F591" s="419">
        <v>1</v>
      </c>
      <c r="G591" s="419"/>
      <c r="H591" s="421" t="s">
        <v>968</v>
      </c>
      <c r="I591" s="448" t="s">
        <v>911</v>
      </c>
      <c r="J591" s="419" t="s">
        <v>1069</v>
      </c>
      <c r="K591" s="533" t="s">
        <v>2001</v>
      </c>
      <c r="L591" s="423">
        <v>42.863</v>
      </c>
      <c r="M591" s="423">
        <v>8</v>
      </c>
      <c r="N591" s="431">
        <v>39448</v>
      </c>
      <c r="O591" s="425">
        <f>L591*5</f>
        <v>214.315</v>
      </c>
      <c r="P591" s="445" t="s">
        <v>728</v>
      </c>
      <c r="Q591" s="1087">
        <f>27.708+33.067</f>
        <v>60.774999999999999</v>
      </c>
      <c r="R591" s="425"/>
      <c r="S591" s="425"/>
      <c r="T591" s="733">
        <v>40777</v>
      </c>
      <c r="U591" s="444">
        <v>40178</v>
      </c>
      <c r="V591" s="425">
        <v>61.725999999999999</v>
      </c>
      <c r="W591" s="400">
        <f t="shared" si="29"/>
        <v>0.98459320221624602</v>
      </c>
      <c r="X591" s="543" t="s">
        <v>728</v>
      </c>
      <c r="Y591" s="445" t="s">
        <v>2496</v>
      </c>
      <c r="Z591" s="419" t="s">
        <v>202</v>
      </c>
      <c r="AA591" s="444">
        <v>40802</v>
      </c>
      <c r="AB591" s="733"/>
      <c r="AC591" s="881">
        <v>40781</v>
      </c>
      <c r="AD591" s="444">
        <v>40757</v>
      </c>
      <c r="AE591" s="444"/>
      <c r="AF591" s="444"/>
      <c r="AG591" s="419"/>
      <c r="AH591" s="419"/>
      <c r="AI591" s="419"/>
      <c r="AJ591" s="419"/>
      <c r="AK591" s="419"/>
      <c r="AL591" s="419"/>
      <c r="AM591" s="419"/>
      <c r="AN591" s="419"/>
      <c r="AO591" s="419"/>
      <c r="AP591" s="463"/>
      <c r="AQ591" s="51"/>
    </row>
    <row r="592" spans="1:43" s="464" customFormat="1" ht="32.25" customHeight="1">
      <c r="A592" s="491" t="s">
        <v>2625</v>
      </c>
      <c r="B592" s="468" t="s">
        <v>2636</v>
      </c>
      <c r="C592" s="445" t="s">
        <v>2635</v>
      </c>
      <c r="D592" s="449" t="s">
        <v>707</v>
      </c>
      <c r="E592" s="445" t="s">
        <v>229</v>
      </c>
      <c r="F592" s="419">
        <v>1</v>
      </c>
      <c r="G592" s="419"/>
      <c r="H592" s="421" t="s">
        <v>968</v>
      </c>
      <c r="I592" s="448" t="s">
        <v>911</v>
      </c>
      <c r="J592" s="420" t="s">
        <v>2656</v>
      </c>
      <c r="K592" s="455" t="s">
        <v>122</v>
      </c>
      <c r="L592" s="423">
        <f>O592/4</f>
        <v>45.083750000000002</v>
      </c>
      <c r="M592" s="423">
        <v>6</v>
      </c>
      <c r="N592" s="431">
        <v>39814</v>
      </c>
      <c r="O592" s="425">
        <v>180.33500000000001</v>
      </c>
      <c r="P592" s="493" t="s">
        <v>728</v>
      </c>
      <c r="Q592" s="1087">
        <f>80.775+90.767</f>
        <v>171.542</v>
      </c>
      <c r="R592" s="425"/>
      <c r="S592" s="425"/>
      <c r="T592" s="733">
        <v>40802</v>
      </c>
      <c r="U592" s="444">
        <v>41060</v>
      </c>
      <c r="V592" s="425">
        <v>137.65687117658098</v>
      </c>
      <c r="W592" s="400">
        <f t="shared" si="29"/>
        <v>1.2461564652297847</v>
      </c>
      <c r="X592" s="543" t="s">
        <v>728</v>
      </c>
      <c r="Y592" s="445" t="s">
        <v>2112</v>
      </c>
      <c r="Z592" s="419" t="s">
        <v>2646</v>
      </c>
      <c r="AA592" s="444">
        <v>40809</v>
      </c>
      <c r="AB592" s="733"/>
      <c r="AC592" s="881">
        <v>40801</v>
      </c>
      <c r="AD592" s="444">
        <v>40780</v>
      </c>
      <c r="AE592" s="444"/>
      <c r="AF592" s="444"/>
      <c r="AG592" s="419"/>
      <c r="AH592" s="419"/>
      <c r="AI592" s="419"/>
      <c r="AJ592" s="419"/>
      <c r="AK592" s="419"/>
      <c r="AL592" s="419"/>
      <c r="AM592" s="419"/>
      <c r="AN592" s="419"/>
      <c r="AO592" s="419"/>
      <c r="AP592" s="463"/>
      <c r="AQ592" s="51"/>
    </row>
    <row r="593" spans="1:43" s="464" customFormat="1" ht="30" customHeight="1">
      <c r="A593" s="491" t="s">
        <v>2623</v>
      </c>
      <c r="B593" s="468" t="s">
        <v>2634</v>
      </c>
      <c r="C593" s="445" t="s">
        <v>2633</v>
      </c>
      <c r="D593" s="449" t="s">
        <v>707</v>
      </c>
      <c r="E593" s="445" t="s">
        <v>2416</v>
      </c>
      <c r="F593" s="419">
        <v>1</v>
      </c>
      <c r="G593" s="445" t="s">
        <v>3840</v>
      </c>
      <c r="H593" s="421" t="s">
        <v>968</v>
      </c>
      <c r="I593" s="448" t="s">
        <v>911</v>
      </c>
      <c r="J593" s="420" t="s">
        <v>1070</v>
      </c>
      <c r="K593" s="533" t="s">
        <v>2001</v>
      </c>
      <c r="L593" s="425">
        <v>438.95800000000003</v>
      </c>
      <c r="M593" s="423">
        <v>100</v>
      </c>
      <c r="N593" s="431">
        <v>39448</v>
      </c>
      <c r="O593" s="425">
        <f t="shared" ref="O593:O601" si="30">L593*5</f>
        <v>2194.79</v>
      </c>
      <c r="P593" s="493" t="s">
        <v>728</v>
      </c>
      <c r="Q593" s="1087">
        <f>388.633+241.007+125.887+355.022+297.14</f>
        <v>1407.6889999999999</v>
      </c>
      <c r="R593" s="425"/>
      <c r="S593" s="425"/>
      <c r="T593" s="733">
        <v>40808</v>
      </c>
      <c r="U593" s="444">
        <v>40908</v>
      </c>
      <c r="V593" s="425">
        <v>1555.8320000000001</v>
      </c>
      <c r="W593" s="400">
        <f t="shared" si="29"/>
        <v>0.90478213586042688</v>
      </c>
      <c r="X593" s="543" t="s">
        <v>728</v>
      </c>
      <c r="Y593" s="445" t="s">
        <v>2112</v>
      </c>
      <c r="Z593" s="419" t="s">
        <v>1091</v>
      </c>
      <c r="AA593" s="444">
        <v>40807</v>
      </c>
      <c r="AB593" s="733"/>
      <c r="AC593" s="881">
        <v>40802</v>
      </c>
      <c r="AD593" s="444">
        <v>40780</v>
      </c>
      <c r="AE593" s="444"/>
      <c r="AF593" s="444"/>
      <c r="AG593" s="419"/>
      <c r="AH593" s="419"/>
      <c r="AI593" s="419"/>
      <c r="AJ593" s="419"/>
      <c r="AK593" s="419"/>
      <c r="AL593" s="419"/>
      <c r="AM593" s="419"/>
      <c r="AN593" s="419"/>
      <c r="AO593" s="419"/>
      <c r="AP593" s="463"/>
      <c r="AQ593" s="466"/>
    </row>
    <row r="594" spans="1:43" s="464" customFormat="1" ht="29.25" customHeight="1">
      <c r="A594" s="491" t="s">
        <v>2627</v>
      </c>
      <c r="B594" s="468" t="s">
        <v>2638</v>
      </c>
      <c r="C594" s="445" t="s">
        <v>2639</v>
      </c>
      <c r="D594" s="449" t="s">
        <v>707</v>
      </c>
      <c r="E594" s="445" t="s">
        <v>1126</v>
      </c>
      <c r="F594" s="419">
        <v>1</v>
      </c>
      <c r="G594" s="419"/>
      <c r="H594" s="421" t="s">
        <v>968</v>
      </c>
      <c r="I594" s="455" t="s">
        <v>1467</v>
      </c>
      <c r="J594" s="445" t="s">
        <v>2584</v>
      </c>
      <c r="K594" s="533" t="s">
        <v>2001</v>
      </c>
      <c r="L594" s="423">
        <v>64.682000000000002</v>
      </c>
      <c r="M594" s="423">
        <v>17</v>
      </c>
      <c r="N594" s="431">
        <v>39448</v>
      </c>
      <c r="O594" s="425">
        <f t="shared" si="30"/>
        <v>323.41000000000003</v>
      </c>
      <c r="P594" s="493" t="s">
        <v>728</v>
      </c>
      <c r="Q594" s="1087">
        <f>142.248+76.16</f>
        <v>218.40799999999999</v>
      </c>
      <c r="R594" s="425"/>
      <c r="S594" s="425"/>
      <c r="T594" s="733">
        <v>40807</v>
      </c>
      <c r="U594" s="444">
        <v>40908</v>
      </c>
      <c r="V594" s="425">
        <v>224.72800000000001</v>
      </c>
      <c r="W594" s="400">
        <f t="shared" si="29"/>
        <v>0.9718771136662987</v>
      </c>
      <c r="X594" s="543" t="s">
        <v>728</v>
      </c>
      <c r="Y594" s="445" t="s">
        <v>2112</v>
      </c>
      <c r="Z594" s="462" t="s">
        <v>2646</v>
      </c>
      <c r="AA594" s="444">
        <v>40810</v>
      </c>
      <c r="AB594" s="733"/>
      <c r="AC594" s="881">
        <v>40807</v>
      </c>
      <c r="AD594" s="444">
        <v>40737</v>
      </c>
      <c r="AE594" s="444"/>
      <c r="AF594" s="444"/>
      <c r="AG594" s="419"/>
      <c r="AH594" s="419"/>
      <c r="AI594" s="419"/>
      <c r="AJ594" s="419"/>
      <c r="AK594" s="419"/>
      <c r="AL594" s="419"/>
      <c r="AM594" s="419"/>
      <c r="AN594" s="419"/>
      <c r="AO594" s="419"/>
      <c r="AP594" s="463"/>
      <c r="AQ594" s="794"/>
    </row>
    <row r="595" spans="1:43" s="464" customFormat="1" ht="15" customHeight="1">
      <c r="A595" s="491" t="s">
        <v>2629</v>
      </c>
      <c r="B595" s="468" t="s">
        <v>2664</v>
      </c>
      <c r="C595" s="445" t="s">
        <v>2641</v>
      </c>
      <c r="D595" s="449" t="s">
        <v>707</v>
      </c>
      <c r="E595" s="445" t="s">
        <v>2647</v>
      </c>
      <c r="F595" s="419">
        <v>1</v>
      </c>
      <c r="G595" s="419"/>
      <c r="H595" s="421" t="s">
        <v>968</v>
      </c>
      <c r="I595" s="455" t="s">
        <v>1467</v>
      </c>
      <c r="J595" s="449" t="s">
        <v>2584</v>
      </c>
      <c r="K595" s="533" t="s">
        <v>2001</v>
      </c>
      <c r="L595" s="423">
        <v>467.05399999999997</v>
      </c>
      <c r="M595" s="423">
        <v>65</v>
      </c>
      <c r="N595" s="431">
        <v>39448</v>
      </c>
      <c r="O595" s="425">
        <f t="shared" si="30"/>
        <v>2335.27</v>
      </c>
      <c r="P595" s="493" t="s">
        <v>728</v>
      </c>
      <c r="Q595" s="1087">
        <f>1235.371+664.088</f>
        <v>1899.4590000000001</v>
      </c>
      <c r="R595" s="425"/>
      <c r="S595" s="425"/>
      <c r="T595" s="733">
        <v>40806</v>
      </c>
      <c r="U595" s="444">
        <v>40908</v>
      </c>
      <c r="V595" s="425">
        <v>1738.2159999999999</v>
      </c>
      <c r="W595" s="400">
        <f t="shared" si="29"/>
        <v>1.0927635000483256</v>
      </c>
      <c r="X595" s="549" t="s">
        <v>728</v>
      </c>
      <c r="Y595" s="445" t="s">
        <v>2112</v>
      </c>
      <c r="Z595" s="445" t="s">
        <v>2646</v>
      </c>
      <c r="AA595" s="444">
        <v>40814</v>
      </c>
      <c r="AB595" s="733"/>
      <c r="AC595" s="881">
        <v>40798</v>
      </c>
      <c r="AD595" s="444">
        <v>40732</v>
      </c>
      <c r="AE595" s="444"/>
      <c r="AF595" s="444"/>
      <c r="AG595" s="419"/>
      <c r="AH595" s="419"/>
      <c r="AI595" s="419"/>
      <c r="AJ595" s="419"/>
      <c r="AK595" s="419"/>
      <c r="AL595" s="419"/>
      <c r="AM595" s="419"/>
      <c r="AN595" s="419"/>
      <c r="AO595" s="419"/>
      <c r="AP595" s="463"/>
      <c r="AQ595" s="782"/>
    </row>
    <row r="596" spans="1:43" s="464" customFormat="1" ht="27.75" customHeight="1">
      <c r="A596" s="491" t="s">
        <v>2628</v>
      </c>
      <c r="B596" s="468" t="s">
        <v>2665</v>
      </c>
      <c r="C596" s="445" t="s">
        <v>2640</v>
      </c>
      <c r="D596" s="449" t="s">
        <v>707</v>
      </c>
      <c r="E596" s="445" t="s">
        <v>603</v>
      </c>
      <c r="F596" s="419">
        <v>1</v>
      </c>
      <c r="G596" s="419"/>
      <c r="H596" s="421" t="s">
        <v>968</v>
      </c>
      <c r="I596" s="448" t="s">
        <v>719</v>
      </c>
      <c r="J596" s="419" t="s">
        <v>2145</v>
      </c>
      <c r="K596" s="455" t="s">
        <v>2127</v>
      </c>
      <c r="L596" s="423">
        <v>101.16</v>
      </c>
      <c r="M596" s="423">
        <v>0</v>
      </c>
      <c r="N596" s="431">
        <v>39448</v>
      </c>
      <c r="O596" s="425">
        <f t="shared" si="30"/>
        <v>505.79999999999995</v>
      </c>
      <c r="P596" s="493" t="s">
        <v>728</v>
      </c>
      <c r="Q596" s="1087">
        <f>100.813+107.753+94.987</f>
        <v>303.553</v>
      </c>
      <c r="R596" s="425"/>
      <c r="S596" s="425"/>
      <c r="T596" s="733">
        <v>40812</v>
      </c>
      <c r="U596" s="444">
        <v>40543</v>
      </c>
      <c r="V596" s="425">
        <v>303.48</v>
      </c>
      <c r="W596" s="400">
        <f t="shared" si="29"/>
        <v>1.0002405430341372</v>
      </c>
      <c r="X596" s="543" t="s">
        <v>728</v>
      </c>
      <c r="Y596" s="445" t="s">
        <v>2659</v>
      </c>
      <c r="Z596" s="419" t="s">
        <v>2660</v>
      </c>
      <c r="AA596" s="444">
        <v>40814</v>
      </c>
      <c r="AB596" s="733"/>
      <c r="AC596" s="881">
        <v>40809</v>
      </c>
      <c r="AD596" s="444">
        <v>40799</v>
      </c>
      <c r="AE596" s="444"/>
      <c r="AF596" s="444"/>
      <c r="AG596" s="419"/>
      <c r="AH596" s="419"/>
      <c r="AI596" s="419"/>
      <c r="AJ596" s="419"/>
      <c r="AK596" s="419"/>
      <c r="AL596" s="419"/>
      <c r="AM596" s="419"/>
      <c r="AN596" s="419"/>
      <c r="AO596" s="419"/>
      <c r="AP596" s="463"/>
      <c r="AQ596" s="51"/>
    </row>
    <row r="597" spans="1:43" s="464" customFormat="1" ht="29.25" customHeight="1">
      <c r="A597" s="491" t="s">
        <v>2654</v>
      </c>
      <c r="B597" s="468" t="s">
        <v>2666</v>
      </c>
      <c r="C597" s="445" t="s">
        <v>2642</v>
      </c>
      <c r="D597" s="449" t="s">
        <v>707</v>
      </c>
      <c r="E597" s="445" t="s">
        <v>2162</v>
      </c>
      <c r="F597" s="419">
        <v>1</v>
      </c>
      <c r="G597" s="419"/>
      <c r="H597" s="421" t="s">
        <v>968</v>
      </c>
      <c r="I597" s="455" t="s">
        <v>1467</v>
      </c>
      <c r="J597" s="449" t="s">
        <v>2584</v>
      </c>
      <c r="K597" s="533" t="s">
        <v>2001</v>
      </c>
      <c r="L597" s="423">
        <v>199.60599999999999</v>
      </c>
      <c r="M597" s="423">
        <v>20</v>
      </c>
      <c r="N597" s="431">
        <v>39448</v>
      </c>
      <c r="O597" s="425">
        <f t="shared" si="30"/>
        <v>998.03</v>
      </c>
      <c r="P597" s="493" t="s">
        <v>728</v>
      </c>
      <c r="Q597" s="1087">
        <f>534.901+276.005</f>
        <v>810.90599999999995</v>
      </c>
      <c r="R597" s="425"/>
      <c r="S597" s="425"/>
      <c r="T597" s="733">
        <v>40807</v>
      </c>
      <c r="U597" s="444">
        <v>40908</v>
      </c>
      <c r="V597" s="425">
        <v>758.42399999999998</v>
      </c>
      <c r="W597" s="400">
        <f t="shared" si="29"/>
        <v>1.0691987595329262</v>
      </c>
      <c r="X597" s="543" t="s">
        <v>728</v>
      </c>
      <c r="Y597" s="445" t="s">
        <v>2112</v>
      </c>
      <c r="Z597" s="445" t="s">
        <v>2646</v>
      </c>
      <c r="AA597" s="444">
        <v>40814</v>
      </c>
      <c r="AB597" s="733"/>
      <c r="AC597" s="881">
        <v>40807</v>
      </c>
      <c r="AD597" s="444">
        <v>40736</v>
      </c>
      <c r="AE597" s="444"/>
      <c r="AF597" s="444"/>
      <c r="AG597" s="419"/>
      <c r="AH597" s="419"/>
      <c r="AI597" s="419"/>
      <c r="AJ597" s="419"/>
      <c r="AK597" s="419"/>
      <c r="AL597" s="419"/>
      <c r="AM597" s="419"/>
      <c r="AN597" s="419"/>
      <c r="AO597" s="419"/>
      <c r="AP597" s="463"/>
      <c r="AQ597" s="782"/>
    </row>
    <row r="598" spans="1:43" s="464" customFormat="1" ht="15" customHeight="1">
      <c r="A598" s="491" t="s">
        <v>2668</v>
      </c>
      <c r="B598" s="468" t="s">
        <v>2684</v>
      </c>
      <c r="C598" s="445" t="s">
        <v>2672</v>
      </c>
      <c r="D598" s="449" t="s">
        <v>707</v>
      </c>
      <c r="E598" s="445" t="s">
        <v>1126</v>
      </c>
      <c r="F598" s="419">
        <v>1</v>
      </c>
      <c r="G598" s="419"/>
      <c r="H598" s="421" t="s">
        <v>968</v>
      </c>
      <c r="I598" s="471" t="s">
        <v>1548</v>
      </c>
      <c r="J598" s="420" t="s">
        <v>235</v>
      </c>
      <c r="K598" s="455" t="s">
        <v>746</v>
      </c>
      <c r="L598" s="423">
        <v>67.153999999999996</v>
      </c>
      <c r="M598" s="423">
        <v>5</v>
      </c>
      <c r="N598" s="431">
        <v>39448</v>
      </c>
      <c r="O598" s="425">
        <f t="shared" si="30"/>
        <v>335.77</v>
      </c>
      <c r="P598" s="493" t="s">
        <v>728</v>
      </c>
      <c r="Q598" s="1087">
        <f>230.778</f>
        <v>230.77799999999999</v>
      </c>
      <c r="R598" s="425"/>
      <c r="S598" s="425"/>
      <c r="T598" s="733">
        <v>40815</v>
      </c>
      <c r="U598" s="444">
        <v>40786</v>
      </c>
      <c r="V598" s="425">
        <v>233.94245809720397</v>
      </c>
      <c r="W598" s="400">
        <f t="shared" si="29"/>
        <v>0.98647334851936486</v>
      </c>
      <c r="X598" s="543" t="s">
        <v>728</v>
      </c>
      <c r="Y598" s="445" t="s">
        <v>2112</v>
      </c>
      <c r="Z598" s="445" t="s">
        <v>2646</v>
      </c>
      <c r="AA598" s="444">
        <v>40819</v>
      </c>
      <c r="AB598" s="733"/>
      <c r="AC598" s="881">
        <v>40807</v>
      </c>
      <c r="AD598" s="444">
        <v>40764</v>
      </c>
      <c r="AE598" s="444"/>
      <c r="AF598" s="444"/>
      <c r="AG598" s="419"/>
      <c r="AH598" s="423">
        <v>0</v>
      </c>
      <c r="AI598" s="419"/>
      <c r="AJ598" s="740"/>
      <c r="AK598" s="419"/>
      <c r="AL598" s="419"/>
      <c r="AM598" s="419"/>
      <c r="AN598" s="419"/>
      <c r="AO598" s="419"/>
      <c r="AP598" s="463"/>
      <c r="AQ598" s="466"/>
    </row>
    <row r="599" spans="1:43" s="464" customFormat="1" ht="15" customHeight="1">
      <c r="A599" s="491" t="s">
        <v>2667</v>
      </c>
      <c r="B599" s="468" t="s">
        <v>2685</v>
      </c>
      <c r="C599" s="445" t="s">
        <v>2671</v>
      </c>
      <c r="D599" s="449" t="s">
        <v>707</v>
      </c>
      <c r="E599" s="445" t="s">
        <v>1043</v>
      </c>
      <c r="F599" s="419">
        <v>1</v>
      </c>
      <c r="G599" s="419"/>
      <c r="H599" s="421" t="s">
        <v>968</v>
      </c>
      <c r="I599" s="455" t="s">
        <v>1467</v>
      </c>
      <c r="J599" s="507" t="s">
        <v>2128</v>
      </c>
      <c r="K599" s="455" t="s">
        <v>1632</v>
      </c>
      <c r="L599" s="423">
        <v>115.639</v>
      </c>
      <c r="M599" s="423">
        <v>20</v>
      </c>
      <c r="N599" s="431">
        <v>39448</v>
      </c>
      <c r="O599" s="425">
        <f t="shared" si="30"/>
        <v>578.19499999999994</v>
      </c>
      <c r="P599" s="493" t="s">
        <v>728</v>
      </c>
      <c r="Q599" s="1087">
        <f>82.87+95.429+104.684+140.753</f>
        <v>423.73599999999999</v>
      </c>
      <c r="R599" s="425"/>
      <c r="S599" s="425"/>
      <c r="T599" s="733">
        <v>40815</v>
      </c>
      <c r="U599" s="444">
        <v>40908</v>
      </c>
      <c r="V599" s="425">
        <v>422.55599999999998</v>
      </c>
      <c r="W599" s="400">
        <f t="shared" si="29"/>
        <v>1.0027925292742264</v>
      </c>
      <c r="X599" s="543" t="s">
        <v>728</v>
      </c>
      <c r="Y599" s="391" t="s">
        <v>1476</v>
      </c>
      <c r="Z599" s="445" t="s">
        <v>1091</v>
      </c>
      <c r="AA599" s="444">
        <v>40819</v>
      </c>
      <c r="AB599" s="733"/>
      <c r="AC599" s="881">
        <v>40814</v>
      </c>
      <c r="AD599" s="444">
        <v>40758</v>
      </c>
      <c r="AE599" s="444"/>
      <c r="AF599" s="444"/>
      <c r="AG599" s="419"/>
      <c r="AH599" s="423">
        <v>0</v>
      </c>
      <c r="AI599" s="419"/>
      <c r="AJ599" s="423">
        <f>30.90926/Exch!B11</f>
        <v>36.607026538183305</v>
      </c>
      <c r="AK599" s="423">
        <f>AJ599*1000/L599</f>
        <v>316.56298081255727</v>
      </c>
      <c r="AL599" s="419"/>
      <c r="AM599" s="419"/>
      <c r="AN599" s="419"/>
      <c r="AO599" s="419"/>
      <c r="AP599" s="463"/>
      <c r="AQ599" s="782"/>
    </row>
    <row r="600" spans="1:43" s="464" customFormat="1" ht="15" customHeight="1">
      <c r="A600" s="491" t="s">
        <v>2669</v>
      </c>
      <c r="B600" s="468" t="s">
        <v>2686</v>
      </c>
      <c r="C600" s="445" t="s">
        <v>2673</v>
      </c>
      <c r="D600" s="449" t="s">
        <v>707</v>
      </c>
      <c r="E600" s="445" t="s">
        <v>2502</v>
      </c>
      <c r="F600" s="419">
        <v>1</v>
      </c>
      <c r="G600" s="419"/>
      <c r="H600" s="421" t="s">
        <v>968</v>
      </c>
      <c r="I600" s="471" t="s">
        <v>1548</v>
      </c>
      <c r="J600" s="420" t="s">
        <v>235</v>
      </c>
      <c r="K600" s="455" t="s">
        <v>746</v>
      </c>
      <c r="L600" s="423">
        <v>749.14099999999996</v>
      </c>
      <c r="M600" s="423">
        <v>60</v>
      </c>
      <c r="N600" s="431">
        <v>39448</v>
      </c>
      <c r="O600" s="425">
        <f t="shared" si="30"/>
        <v>3745.7049999999999</v>
      </c>
      <c r="P600" s="493" t="s">
        <v>728</v>
      </c>
      <c r="Q600" s="1087">
        <f>2422.19+680.633</f>
        <v>3102.8230000000003</v>
      </c>
      <c r="R600" s="425"/>
      <c r="S600" s="425"/>
      <c r="T600" s="733">
        <v>40821</v>
      </c>
      <c r="U600" s="444">
        <v>41152</v>
      </c>
      <c r="V600" s="425">
        <v>3450.9305037342842</v>
      </c>
      <c r="W600" s="400">
        <f t="shared" si="29"/>
        <v>0.89912648100053205</v>
      </c>
      <c r="X600" s="543" t="s">
        <v>728</v>
      </c>
      <c r="Y600" s="445" t="s">
        <v>2659</v>
      </c>
      <c r="Z600" s="445" t="s">
        <v>2675</v>
      </c>
      <c r="AA600" s="444">
        <v>40821</v>
      </c>
      <c r="AB600" s="733"/>
      <c r="AC600" s="881">
        <v>40820</v>
      </c>
      <c r="AD600" s="444">
        <v>40812</v>
      </c>
      <c r="AE600" s="444"/>
      <c r="AF600" s="444"/>
      <c r="AG600" s="419"/>
      <c r="AH600" s="423">
        <v>0</v>
      </c>
      <c r="AI600" s="419"/>
      <c r="AJ600" s="419"/>
      <c r="AK600" s="419"/>
      <c r="AL600" s="419"/>
      <c r="AM600" s="419"/>
      <c r="AN600" s="419"/>
      <c r="AO600" s="419"/>
      <c r="AP600" s="463"/>
      <c r="AQ600" s="466"/>
    </row>
    <row r="601" spans="1:43" s="464" customFormat="1" ht="15" customHeight="1">
      <c r="A601" s="491" t="s">
        <v>2655</v>
      </c>
      <c r="B601" s="468" t="s">
        <v>2687</v>
      </c>
      <c r="C601" s="445" t="s">
        <v>2643</v>
      </c>
      <c r="D601" s="449" t="s">
        <v>707</v>
      </c>
      <c r="E601" s="445" t="s">
        <v>1627</v>
      </c>
      <c r="F601" s="419">
        <v>1</v>
      </c>
      <c r="G601" s="445" t="s">
        <v>3834</v>
      </c>
      <c r="H601" s="448" t="s">
        <v>968</v>
      </c>
      <c r="I601" s="455" t="s">
        <v>910</v>
      </c>
      <c r="J601" s="449" t="s">
        <v>2542</v>
      </c>
      <c r="K601" s="450" t="s">
        <v>2001</v>
      </c>
      <c r="L601" s="423">
        <v>698.52800000000002</v>
      </c>
      <c r="M601" s="423">
        <v>400</v>
      </c>
      <c r="N601" s="431">
        <v>39448</v>
      </c>
      <c r="O601" s="425">
        <f t="shared" si="30"/>
        <v>3492.6400000000003</v>
      </c>
      <c r="P601" s="493" t="s">
        <v>728</v>
      </c>
      <c r="Q601" s="1087">
        <f>207.92+2486.627</f>
        <v>2694.547</v>
      </c>
      <c r="R601" s="425"/>
      <c r="S601" s="425"/>
      <c r="T601" s="733">
        <v>40812</v>
      </c>
      <c r="U601" s="444">
        <v>40543</v>
      </c>
      <c r="V601" s="425">
        <v>895.58400000000006</v>
      </c>
      <c r="W601" s="400">
        <f t="shared" si="29"/>
        <v>3.0087038178439989</v>
      </c>
      <c r="X601" s="421" t="s">
        <v>728</v>
      </c>
      <c r="Y601" s="445" t="s">
        <v>2644</v>
      </c>
      <c r="Z601" s="445" t="s">
        <v>2645</v>
      </c>
      <c r="AA601" s="444">
        <v>40730</v>
      </c>
      <c r="AB601" s="733">
        <v>40816</v>
      </c>
      <c r="AC601" s="881">
        <v>40806</v>
      </c>
      <c r="AD601" s="444">
        <v>40770</v>
      </c>
      <c r="AE601" s="444"/>
      <c r="AF601" s="444"/>
      <c r="AG601" s="419"/>
      <c r="AH601" s="423">
        <v>0</v>
      </c>
      <c r="AI601" s="419"/>
      <c r="AJ601" s="740"/>
      <c r="AK601" s="419"/>
      <c r="AL601" s="419"/>
      <c r="AM601" s="419"/>
      <c r="AN601" s="419"/>
      <c r="AO601" s="419"/>
      <c r="AP601" s="463"/>
      <c r="AQ601" s="782"/>
    </row>
    <row r="602" spans="1:43" s="464" customFormat="1" ht="15" customHeight="1">
      <c r="A602" s="491" t="s">
        <v>2733</v>
      </c>
      <c r="B602" s="468" t="s">
        <v>2839</v>
      </c>
      <c r="C602" s="445" t="s">
        <v>2731</v>
      </c>
      <c r="D602" s="449" t="s">
        <v>707</v>
      </c>
      <c r="E602" s="445" t="s">
        <v>822</v>
      </c>
      <c r="F602" s="419">
        <v>1</v>
      </c>
      <c r="G602" s="419"/>
      <c r="H602" s="421" t="s">
        <v>968</v>
      </c>
      <c r="I602" s="455" t="s">
        <v>911</v>
      </c>
      <c r="J602" s="420" t="s">
        <v>2063</v>
      </c>
      <c r="K602" s="448" t="s">
        <v>2001</v>
      </c>
      <c r="L602" s="423">
        <v>85.028000000000006</v>
      </c>
      <c r="M602" s="423">
        <v>0</v>
      </c>
      <c r="N602" s="431">
        <v>40360</v>
      </c>
      <c r="O602" s="425">
        <v>212.571</v>
      </c>
      <c r="P602" s="868" t="s">
        <v>896</v>
      </c>
      <c r="Q602" s="1087">
        <f>75.812</f>
        <v>75.811999999999998</v>
      </c>
      <c r="R602" s="425"/>
      <c r="S602" s="425"/>
      <c r="T602" s="733">
        <v>41316</v>
      </c>
      <c r="U602" s="444">
        <v>41243</v>
      </c>
      <c r="V602" s="425">
        <v>205.69787397260276</v>
      </c>
      <c r="W602" s="400">
        <f t="shared" si="29"/>
        <v>0.36855995901103733</v>
      </c>
      <c r="X602" s="1048" t="s">
        <v>896</v>
      </c>
      <c r="Y602" s="419" t="s">
        <v>2749</v>
      </c>
      <c r="Z602" s="419" t="s">
        <v>2748</v>
      </c>
      <c r="AA602" s="444">
        <v>40863</v>
      </c>
      <c r="AB602" s="733"/>
      <c r="AC602" s="881">
        <v>40813</v>
      </c>
      <c r="AD602" s="444"/>
      <c r="AE602" s="444"/>
      <c r="AF602" s="444"/>
      <c r="AG602" s="419"/>
      <c r="AH602" s="419"/>
      <c r="AI602" s="419"/>
      <c r="AJ602" s="419"/>
      <c r="AK602" s="419"/>
      <c r="AL602" s="419"/>
      <c r="AM602" s="419"/>
      <c r="AN602" s="419"/>
      <c r="AO602" s="445"/>
      <c r="AP602" s="463"/>
      <c r="AQ602" s="466"/>
    </row>
    <row r="603" spans="1:43" s="464" customFormat="1" ht="27.75" customHeight="1">
      <c r="A603" s="491" t="s">
        <v>2891</v>
      </c>
      <c r="B603" s="468" t="s">
        <v>2990</v>
      </c>
      <c r="C603" s="445" t="s">
        <v>2895</v>
      </c>
      <c r="D603" s="449" t="s">
        <v>707</v>
      </c>
      <c r="E603" s="445" t="s">
        <v>1627</v>
      </c>
      <c r="F603" s="419">
        <v>1</v>
      </c>
      <c r="G603" s="419"/>
      <c r="H603" s="448" t="s">
        <v>968</v>
      </c>
      <c r="I603" s="471" t="s">
        <v>1548</v>
      </c>
      <c r="J603" s="419" t="s">
        <v>235</v>
      </c>
      <c r="K603" s="533" t="s">
        <v>2001</v>
      </c>
      <c r="L603" s="425">
        <f>O603/5</f>
        <v>2505.4382000000001</v>
      </c>
      <c r="M603" s="423">
        <v>0</v>
      </c>
      <c r="N603" s="431">
        <v>39448</v>
      </c>
      <c r="O603" s="425">
        <v>12527.191000000001</v>
      </c>
      <c r="P603" s="868" t="s">
        <v>896</v>
      </c>
      <c r="Q603" s="1087"/>
      <c r="R603" s="425"/>
      <c r="S603" s="425"/>
      <c r="T603" s="733"/>
      <c r="U603" s="444"/>
      <c r="V603" s="425"/>
      <c r="W603" s="419"/>
      <c r="X603" s="421"/>
      <c r="Y603" s="419" t="s">
        <v>2896</v>
      </c>
      <c r="Z603" s="445" t="s">
        <v>2897</v>
      </c>
      <c r="AA603" s="444">
        <v>40906</v>
      </c>
      <c r="AB603" s="733"/>
      <c r="AC603" s="881">
        <v>40835</v>
      </c>
      <c r="AD603" s="444">
        <v>40773</v>
      </c>
      <c r="AE603" s="444"/>
      <c r="AF603" s="444"/>
      <c r="AG603" s="419"/>
      <c r="AH603" s="419">
        <v>0</v>
      </c>
      <c r="AI603" s="419"/>
      <c r="AJ603" s="740"/>
      <c r="AK603" s="419"/>
      <c r="AL603" s="419"/>
      <c r="AM603" s="419"/>
      <c r="AN603" s="419"/>
      <c r="AO603" s="445"/>
      <c r="AP603" s="463"/>
      <c r="AQ603" s="466"/>
    </row>
    <row r="604" spans="1:43" s="464" customFormat="1" ht="15" customHeight="1">
      <c r="A604" s="491" t="s">
        <v>2874</v>
      </c>
      <c r="B604" s="468" t="s">
        <v>3041</v>
      </c>
      <c r="C604" s="445" t="s">
        <v>3040</v>
      </c>
      <c r="D604" s="449" t="s">
        <v>707</v>
      </c>
      <c r="E604" s="445" t="s">
        <v>2879</v>
      </c>
      <c r="F604" s="419">
        <v>1</v>
      </c>
      <c r="G604" s="445" t="s">
        <v>3042</v>
      </c>
      <c r="H604" s="421" t="s">
        <v>968</v>
      </c>
      <c r="I604" s="455" t="s">
        <v>1467</v>
      </c>
      <c r="J604" s="445" t="s">
        <v>2584</v>
      </c>
      <c r="K604" s="533" t="s">
        <v>2001</v>
      </c>
      <c r="L604" s="425">
        <v>249.13300000000001</v>
      </c>
      <c r="M604" s="423">
        <v>0</v>
      </c>
      <c r="N604" s="431">
        <v>39448</v>
      </c>
      <c r="O604" s="425">
        <f>L604*5</f>
        <v>1245.665</v>
      </c>
      <c r="P604" s="868" t="s">
        <v>728</v>
      </c>
      <c r="Q604" s="1087">
        <v>1411.9110000000001</v>
      </c>
      <c r="R604" s="425"/>
      <c r="S604" s="425"/>
      <c r="T604" s="733">
        <v>41183</v>
      </c>
      <c r="U604" s="444">
        <v>41182</v>
      </c>
      <c r="V604" s="425">
        <v>1183.5523890410959</v>
      </c>
      <c r="W604" s="400">
        <f t="shared" ref="W604:W613" si="31">Q604/V604</f>
        <v>1.1929433906545686</v>
      </c>
      <c r="X604" s="549" t="s">
        <v>728</v>
      </c>
      <c r="Y604" s="445" t="s">
        <v>2112</v>
      </c>
      <c r="Z604" s="462" t="s">
        <v>2889</v>
      </c>
      <c r="AA604" s="444">
        <v>40898</v>
      </c>
      <c r="AB604" s="733">
        <v>41012</v>
      </c>
      <c r="AC604" s="881">
        <v>40844</v>
      </c>
      <c r="AD604" s="444">
        <v>40785</v>
      </c>
      <c r="AE604" s="444"/>
      <c r="AF604" s="444"/>
      <c r="AG604" s="419"/>
      <c r="AH604" s="419">
        <v>0</v>
      </c>
      <c r="AI604" s="419"/>
      <c r="AJ604" s="740"/>
      <c r="AK604" s="419"/>
      <c r="AL604" s="419"/>
      <c r="AM604" s="419"/>
      <c r="AN604" s="419"/>
      <c r="AO604" s="445"/>
      <c r="AP604" s="463"/>
      <c r="AQ604" s="466"/>
    </row>
    <row r="605" spans="1:43" s="464" customFormat="1" ht="15" customHeight="1">
      <c r="A605" s="491" t="s">
        <v>3016</v>
      </c>
      <c r="B605" s="468" t="s">
        <v>3039</v>
      </c>
      <c r="C605" s="445" t="s">
        <v>3037</v>
      </c>
      <c r="D605" s="449" t="s">
        <v>707</v>
      </c>
      <c r="E605" s="445" t="s">
        <v>1043</v>
      </c>
      <c r="F605" s="420">
        <v>1</v>
      </c>
      <c r="G605" s="420"/>
      <c r="H605" s="421" t="s">
        <v>968</v>
      </c>
      <c r="I605" s="455" t="s">
        <v>1548</v>
      </c>
      <c r="J605" s="507" t="s">
        <v>2264</v>
      </c>
      <c r="K605" s="490" t="s">
        <v>2001</v>
      </c>
      <c r="L605" s="425">
        <v>301.30799999999999</v>
      </c>
      <c r="M605" s="423">
        <v>0</v>
      </c>
      <c r="N605" s="431">
        <v>39722</v>
      </c>
      <c r="O605" s="425">
        <v>1280.5609999999999</v>
      </c>
      <c r="P605" s="868" t="s">
        <v>896</v>
      </c>
      <c r="Q605" s="1087">
        <f>991.475</f>
        <v>991.47500000000002</v>
      </c>
      <c r="R605" s="425"/>
      <c r="S605" s="425"/>
      <c r="T605" s="733">
        <v>41011</v>
      </c>
      <c r="U605" s="444">
        <v>40543</v>
      </c>
      <c r="V605" s="425">
        <v>677.73662465753432</v>
      </c>
      <c r="W605" s="400">
        <f t="shared" si="31"/>
        <v>1.4629207924258192</v>
      </c>
      <c r="X605" s="549" t="s">
        <v>896</v>
      </c>
      <c r="Y605" s="445" t="s">
        <v>2896</v>
      </c>
      <c r="Z605" s="462" t="s">
        <v>3038</v>
      </c>
      <c r="AA605" s="444">
        <v>41012</v>
      </c>
      <c r="AB605" s="733"/>
      <c r="AC605" s="881">
        <v>41010</v>
      </c>
      <c r="AD605" s="444">
        <v>41005</v>
      </c>
      <c r="AE605" s="444"/>
      <c r="AF605" s="444"/>
      <c r="AG605" s="419"/>
      <c r="AH605" s="419">
        <v>0</v>
      </c>
      <c r="AI605" s="419"/>
      <c r="AJ605" s="740"/>
      <c r="AK605" s="419"/>
      <c r="AL605" s="419"/>
      <c r="AM605" s="419"/>
      <c r="AN605" s="419"/>
      <c r="AO605" s="445"/>
      <c r="AP605" s="463"/>
      <c r="AQ605" s="466"/>
    </row>
    <row r="606" spans="1:43" s="464" customFormat="1" ht="29.25" customHeight="1">
      <c r="A606" s="491" t="s">
        <v>2911</v>
      </c>
      <c r="B606" s="468" t="s">
        <v>3054</v>
      </c>
      <c r="C606" s="445" t="s">
        <v>3043</v>
      </c>
      <c r="D606" s="449" t="s">
        <v>707</v>
      </c>
      <c r="E606" s="445" t="s">
        <v>2913</v>
      </c>
      <c r="F606" s="420">
        <v>1</v>
      </c>
      <c r="G606" s="449" t="s">
        <v>3044</v>
      </c>
      <c r="H606" s="421" t="s">
        <v>968</v>
      </c>
      <c r="I606" s="455" t="s">
        <v>1467</v>
      </c>
      <c r="J606" s="445" t="s">
        <v>2584</v>
      </c>
      <c r="K606" s="533" t="s">
        <v>2001</v>
      </c>
      <c r="L606" s="425">
        <v>246.06700000000001</v>
      </c>
      <c r="M606" s="423">
        <v>0</v>
      </c>
      <c r="N606" s="431">
        <v>39448</v>
      </c>
      <c r="O606" s="425">
        <f>L606*5</f>
        <v>1230.335</v>
      </c>
      <c r="P606" s="868" t="s">
        <v>728</v>
      </c>
      <c r="Q606" s="1087">
        <f>922.174</f>
        <v>922.17399999999998</v>
      </c>
      <c r="R606" s="425"/>
      <c r="S606" s="425"/>
      <c r="T606" s="733">
        <v>41018</v>
      </c>
      <c r="U606" s="444">
        <v>40908</v>
      </c>
      <c r="V606" s="425">
        <v>984.26800000000003</v>
      </c>
      <c r="W606" s="400">
        <f t="shared" si="31"/>
        <v>0.93691352355252833</v>
      </c>
      <c r="X606" s="543" t="s">
        <v>728</v>
      </c>
      <c r="Y606" s="445" t="s">
        <v>2887</v>
      </c>
      <c r="Z606" s="462" t="s">
        <v>2889</v>
      </c>
      <c r="AA606" s="444">
        <v>40925</v>
      </c>
      <c r="AB606" s="733">
        <v>41018</v>
      </c>
      <c r="AC606" s="881">
        <v>40898</v>
      </c>
      <c r="AD606" s="444">
        <v>40848</v>
      </c>
      <c r="AE606" s="444"/>
      <c r="AF606" s="444"/>
      <c r="AG606" s="419"/>
      <c r="AH606" s="419">
        <v>0</v>
      </c>
      <c r="AI606" s="419"/>
      <c r="AJ606" s="740"/>
      <c r="AK606" s="419"/>
      <c r="AL606" s="419"/>
      <c r="AM606" s="419"/>
      <c r="AN606" s="419"/>
      <c r="AO606" s="445"/>
      <c r="AP606" s="463"/>
      <c r="AQ606" s="466"/>
    </row>
    <row r="607" spans="1:43" s="464" customFormat="1" ht="27" customHeight="1">
      <c r="A607" s="491" t="s">
        <v>3049</v>
      </c>
      <c r="B607" s="468" t="s">
        <v>3245</v>
      </c>
      <c r="C607" s="445" t="s">
        <v>3057</v>
      </c>
      <c r="D607" s="449" t="s">
        <v>707</v>
      </c>
      <c r="E607" s="445" t="s">
        <v>1110</v>
      </c>
      <c r="F607" s="420">
        <v>1</v>
      </c>
      <c r="G607" s="420"/>
      <c r="H607" s="421" t="s">
        <v>968</v>
      </c>
      <c r="I607" s="471" t="s">
        <v>1548</v>
      </c>
      <c r="J607" s="420" t="s">
        <v>235</v>
      </c>
      <c r="K607" s="455" t="s">
        <v>3058</v>
      </c>
      <c r="L607" s="425">
        <f>O607/5</f>
        <v>918.93259999999987</v>
      </c>
      <c r="M607" s="423">
        <v>0</v>
      </c>
      <c r="N607" s="431">
        <v>39448</v>
      </c>
      <c r="O607" s="425">
        <v>4594.6629999999996</v>
      </c>
      <c r="P607" s="868" t="s">
        <v>728</v>
      </c>
      <c r="Q607" s="1087">
        <v>3980.4670000000001</v>
      </c>
      <c r="R607" s="425"/>
      <c r="S607" s="425"/>
      <c r="T607" s="733">
        <v>41047</v>
      </c>
      <c r="U607" s="444">
        <v>40999</v>
      </c>
      <c r="V607" s="425">
        <v>3904.8341441095886</v>
      </c>
      <c r="W607" s="400">
        <f t="shared" si="31"/>
        <v>1.0193690315898571</v>
      </c>
      <c r="X607" s="543" t="s">
        <v>728</v>
      </c>
      <c r="Y607" s="445" t="s">
        <v>2674</v>
      </c>
      <c r="Z607" s="462" t="s">
        <v>3059</v>
      </c>
      <c r="AA607" s="444">
        <v>41026</v>
      </c>
      <c r="AB607" s="733"/>
      <c r="AC607" s="881">
        <v>41012</v>
      </c>
      <c r="AD607" s="444">
        <v>40970</v>
      </c>
      <c r="AE607" s="444"/>
      <c r="AF607" s="444"/>
      <c r="AG607" s="419"/>
      <c r="AH607" s="419">
        <v>0</v>
      </c>
      <c r="AI607" s="419"/>
      <c r="AJ607" s="419"/>
      <c r="AK607" s="419"/>
      <c r="AL607" s="419"/>
      <c r="AM607" s="419"/>
      <c r="AN607" s="419"/>
      <c r="AO607" s="445"/>
      <c r="AP607" s="463"/>
      <c r="AQ607" s="466"/>
    </row>
    <row r="608" spans="1:43" s="464" customFormat="1" ht="15" customHeight="1">
      <c r="A608" s="491" t="s">
        <v>3076</v>
      </c>
      <c r="B608" s="468" t="s">
        <v>3081</v>
      </c>
      <c r="C608" s="445" t="s">
        <v>3082</v>
      </c>
      <c r="D608" s="449" t="s">
        <v>707</v>
      </c>
      <c r="E608" s="445" t="s">
        <v>229</v>
      </c>
      <c r="F608" s="420">
        <v>1</v>
      </c>
      <c r="G608" s="420"/>
      <c r="H608" s="421" t="s">
        <v>968</v>
      </c>
      <c r="I608" s="448" t="s">
        <v>1548</v>
      </c>
      <c r="J608" s="420" t="s">
        <v>2264</v>
      </c>
      <c r="K608" s="455" t="s">
        <v>2001</v>
      </c>
      <c r="L608" s="425">
        <v>202.738</v>
      </c>
      <c r="M608" s="423">
        <v>20</v>
      </c>
      <c r="N608" s="431">
        <v>39600</v>
      </c>
      <c r="O608" s="425">
        <f>L608*5</f>
        <v>1013.69</v>
      </c>
      <c r="P608" s="513" t="s">
        <v>728</v>
      </c>
      <c r="Q608" s="1087">
        <f>744.585</f>
        <v>744.58500000000004</v>
      </c>
      <c r="R608" s="425"/>
      <c r="S608" s="425"/>
      <c r="T608" s="733">
        <v>41023</v>
      </c>
      <c r="U608" s="444">
        <v>40908</v>
      </c>
      <c r="V608" s="425">
        <v>675.76517890786261</v>
      </c>
      <c r="W608" s="400">
        <f t="shared" si="31"/>
        <v>1.1018398450233269</v>
      </c>
      <c r="X608" s="543" t="s">
        <v>728</v>
      </c>
      <c r="Y608" s="445" t="s">
        <v>2893</v>
      </c>
      <c r="Z608" s="445" t="s">
        <v>3083</v>
      </c>
      <c r="AA608" s="444">
        <v>41052</v>
      </c>
      <c r="AB608" s="733"/>
      <c r="AC608" s="881">
        <v>41023</v>
      </c>
      <c r="AD608" s="444">
        <v>41002</v>
      </c>
      <c r="AE608" s="444"/>
      <c r="AF608" s="444"/>
      <c r="AG608" s="419"/>
      <c r="AH608" s="419"/>
      <c r="AI608" s="419"/>
      <c r="AJ608" s="419"/>
      <c r="AK608" s="419"/>
      <c r="AL608" s="419"/>
      <c r="AM608" s="419"/>
      <c r="AN608" s="419"/>
      <c r="AO608" s="532"/>
      <c r="AP608" s="463"/>
      <c r="AQ608" s="466"/>
    </row>
    <row r="609" spans="1:43" s="464" customFormat="1" ht="15" customHeight="1">
      <c r="A609" s="491" t="s">
        <v>3077</v>
      </c>
      <c r="B609" s="468" t="s">
        <v>3084</v>
      </c>
      <c r="C609" s="445" t="s">
        <v>3085</v>
      </c>
      <c r="D609" s="449" t="s">
        <v>707</v>
      </c>
      <c r="E609" s="445" t="s">
        <v>1043</v>
      </c>
      <c r="F609" s="420">
        <v>1</v>
      </c>
      <c r="G609" s="420"/>
      <c r="H609" s="421" t="s">
        <v>968</v>
      </c>
      <c r="I609" s="448" t="s">
        <v>1548</v>
      </c>
      <c r="J609" s="419" t="s">
        <v>2264</v>
      </c>
      <c r="K609" s="455" t="s">
        <v>2001</v>
      </c>
      <c r="L609" s="425">
        <v>412.971</v>
      </c>
      <c r="M609" s="423">
        <v>0</v>
      </c>
      <c r="N609" s="431">
        <v>40109</v>
      </c>
      <c r="O609" s="425">
        <v>1307.7429999999999</v>
      </c>
      <c r="P609" s="868" t="s">
        <v>896</v>
      </c>
      <c r="Q609" s="1087">
        <v>1141.8130000000001</v>
      </c>
      <c r="R609" s="425"/>
      <c r="S609" s="425"/>
      <c r="T609" s="733">
        <v>41050</v>
      </c>
      <c r="U609" s="444">
        <v>40968</v>
      </c>
      <c r="V609" s="425">
        <v>971.89613424657534</v>
      </c>
      <c r="W609" s="400">
        <f t="shared" si="31"/>
        <v>1.1748302722544999</v>
      </c>
      <c r="X609" s="549" t="s">
        <v>896</v>
      </c>
      <c r="Y609" s="419" t="s">
        <v>2896</v>
      </c>
      <c r="Z609" s="462" t="s">
        <v>2897</v>
      </c>
      <c r="AA609" s="444">
        <v>41046</v>
      </c>
      <c r="AB609" s="733"/>
      <c r="AC609" s="881">
        <v>41039</v>
      </c>
      <c r="AD609" s="444">
        <v>41032</v>
      </c>
      <c r="AE609" s="444"/>
      <c r="AF609" s="444"/>
      <c r="AG609" s="419"/>
      <c r="AH609" s="419"/>
      <c r="AI609" s="419"/>
      <c r="AJ609" s="419"/>
      <c r="AK609" s="419"/>
      <c r="AL609" s="419"/>
      <c r="AM609" s="419"/>
      <c r="AN609" s="419"/>
      <c r="AO609" s="532"/>
      <c r="AP609" s="463"/>
      <c r="AQ609" s="466"/>
    </row>
    <row r="610" spans="1:43" s="464" customFormat="1" ht="15" customHeight="1">
      <c r="A610" s="491" t="s">
        <v>3078</v>
      </c>
      <c r="B610" s="468" t="s">
        <v>3086</v>
      </c>
      <c r="C610" s="445" t="s">
        <v>3087</v>
      </c>
      <c r="D610" s="449" t="s">
        <v>707</v>
      </c>
      <c r="E610" s="445" t="s">
        <v>1126</v>
      </c>
      <c r="F610" s="420">
        <v>1</v>
      </c>
      <c r="G610" s="420"/>
      <c r="H610" s="421" t="s">
        <v>968</v>
      </c>
      <c r="I610" s="471" t="s">
        <v>1548</v>
      </c>
      <c r="J610" s="419" t="s">
        <v>235</v>
      </c>
      <c r="K610" s="455" t="s">
        <v>3058</v>
      </c>
      <c r="L610" s="425">
        <v>1576.8009999999999</v>
      </c>
      <c r="M610" s="423">
        <v>45</v>
      </c>
      <c r="N610" s="431">
        <v>39448</v>
      </c>
      <c r="O610" s="425">
        <f>L610*5</f>
        <v>7884.0049999999992</v>
      </c>
      <c r="P610" s="868" t="s">
        <v>728</v>
      </c>
      <c r="Q610" s="1087">
        <f>5480.735+790.733+790.733</f>
        <v>7062.201</v>
      </c>
      <c r="R610" s="425"/>
      <c r="S610" s="425"/>
      <c r="T610" s="733">
        <v>41050</v>
      </c>
      <c r="U610" s="444">
        <v>41274</v>
      </c>
      <c r="V610" s="425">
        <v>7888.6333908050292</v>
      </c>
      <c r="W610" s="400">
        <f t="shared" si="31"/>
        <v>0.89523757159658135</v>
      </c>
      <c r="X610" s="549" t="s">
        <v>728</v>
      </c>
      <c r="Y610" s="445" t="s">
        <v>2112</v>
      </c>
      <c r="Z610" s="462" t="s">
        <v>2646</v>
      </c>
      <c r="AA610" s="444">
        <v>41051</v>
      </c>
      <c r="AB610" s="733"/>
      <c r="AC610" s="881">
        <v>41046</v>
      </c>
      <c r="AD610" s="444">
        <v>41005</v>
      </c>
      <c r="AE610" s="444"/>
      <c r="AF610" s="444"/>
      <c r="AG610" s="419"/>
      <c r="AH610" s="419"/>
      <c r="AI610" s="419"/>
      <c r="AJ610" s="419"/>
      <c r="AK610" s="419"/>
      <c r="AL610" s="419"/>
      <c r="AM610" s="419"/>
      <c r="AN610" s="419"/>
      <c r="AO610" s="532"/>
      <c r="AP610" s="463"/>
      <c r="AQ610" s="466"/>
    </row>
    <row r="611" spans="1:43" s="464" customFormat="1" ht="15" customHeight="1">
      <c r="A611" s="491" t="s">
        <v>3079</v>
      </c>
      <c r="B611" s="468" t="s">
        <v>3088</v>
      </c>
      <c r="C611" s="445" t="s">
        <v>3089</v>
      </c>
      <c r="D611" s="449" t="s">
        <v>707</v>
      </c>
      <c r="E611" s="445" t="s">
        <v>1619</v>
      </c>
      <c r="F611" s="420">
        <v>1</v>
      </c>
      <c r="G611" s="420"/>
      <c r="H611" s="421" t="s">
        <v>968</v>
      </c>
      <c r="I611" s="724" t="s">
        <v>719</v>
      </c>
      <c r="J611" s="513" t="s">
        <v>2145</v>
      </c>
      <c r="K611" s="455" t="s">
        <v>2001</v>
      </c>
      <c r="L611" s="425">
        <v>68.653999999999996</v>
      </c>
      <c r="M611" s="423">
        <v>3</v>
      </c>
      <c r="N611" s="431">
        <v>39448</v>
      </c>
      <c r="O611" s="425">
        <f>L611*5</f>
        <v>343.27</v>
      </c>
      <c r="P611" s="868" t="s">
        <v>728</v>
      </c>
      <c r="Q611" s="1087">
        <f>266.846+39.936</f>
        <v>306.78199999999998</v>
      </c>
      <c r="R611" s="425"/>
      <c r="S611" s="425"/>
      <c r="T611" s="733">
        <v>41050</v>
      </c>
      <c r="U611" s="444">
        <v>41121</v>
      </c>
      <c r="V611" s="425">
        <v>311.81668478138482</v>
      </c>
      <c r="W611" s="400">
        <f t="shared" si="31"/>
        <v>0.98385370306622733</v>
      </c>
      <c r="X611" s="549" t="s">
        <v>728</v>
      </c>
      <c r="Y611" s="445" t="s">
        <v>2112</v>
      </c>
      <c r="Z611" s="462" t="s">
        <v>2646</v>
      </c>
      <c r="AA611" s="444">
        <v>41051</v>
      </c>
      <c r="AB611" s="733"/>
      <c r="AC611" s="881">
        <v>41046</v>
      </c>
      <c r="AD611" s="444">
        <v>41005</v>
      </c>
      <c r="AE611" s="444"/>
      <c r="AF611" s="444"/>
      <c r="AG611" s="419"/>
      <c r="AH611" s="419"/>
      <c r="AI611" s="419"/>
      <c r="AJ611" s="419"/>
      <c r="AK611" s="419"/>
      <c r="AL611" s="419"/>
      <c r="AM611" s="419"/>
      <c r="AN611" s="419"/>
      <c r="AO611" s="532"/>
      <c r="AP611" s="463"/>
      <c r="AQ611" s="466"/>
    </row>
    <row r="612" spans="1:43" s="464" customFormat="1" ht="15" customHeight="1">
      <c r="A612" s="491" t="s">
        <v>2886</v>
      </c>
      <c r="B612" s="468" t="s">
        <v>3113</v>
      </c>
      <c r="C612" s="445" t="s">
        <v>2885</v>
      </c>
      <c r="D612" s="449" t="s">
        <v>707</v>
      </c>
      <c r="E612" s="445" t="s">
        <v>2888</v>
      </c>
      <c r="F612" s="420">
        <v>1</v>
      </c>
      <c r="G612" s="449" t="s">
        <v>3120</v>
      </c>
      <c r="H612" s="421" t="s">
        <v>968</v>
      </c>
      <c r="I612" s="455" t="s">
        <v>1467</v>
      </c>
      <c r="J612" s="445" t="s">
        <v>2584</v>
      </c>
      <c r="K612" s="533" t="s">
        <v>2001</v>
      </c>
      <c r="L612" s="425">
        <v>176.56299999999999</v>
      </c>
      <c r="M612" s="423">
        <v>0</v>
      </c>
      <c r="N612" s="431">
        <v>39448</v>
      </c>
      <c r="O612" s="425">
        <f>L612*5</f>
        <v>882.81499999999994</v>
      </c>
      <c r="P612" s="868" t="s">
        <v>728</v>
      </c>
      <c r="Q612" s="1087">
        <f>712.103</f>
        <v>712.10299999999995</v>
      </c>
      <c r="R612" s="425"/>
      <c r="S612" s="425"/>
      <c r="T612" s="733">
        <v>41012</v>
      </c>
      <c r="U612" s="444">
        <v>40908</v>
      </c>
      <c r="V612" s="425">
        <v>706.25199999999995</v>
      </c>
      <c r="W612" s="400">
        <f t="shared" si="31"/>
        <v>1.0082845783091587</v>
      </c>
      <c r="X612" s="549" t="s">
        <v>728</v>
      </c>
      <c r="Y612" s="445" t="s">
        <v>3121</v>
      </c>
      <c r="Z612" s="462" t="s">
        <v>2889</v>
      </c>
      <c r="AA612" s="444">
        <v>40906</v>
      </c>
      <c r="AB612" s="733">
        <v>41061</v>
      </c>
      <c r="AC612" s="881">
        <v>40871</v>
      </c>
      <c r="AD612" s="444">
        <v>41012</v>
      </c>
      <c r="AE612" s="444"/>
      <c r="AF612" s="444"/>
      <c r="AG612" s="419"/>
      <c r="AH612" s="419">
        <v>0</v>
      </c>
      <c r="AI612" s="419"/>
      <c r="AJ612" s="740"/>
      <c r="AK612" s="419"/>
      <c r="AL612" s="419"/>
      <c r="AM612" s="419"/>
      <c r="AN612" s="419"/>
      <c r="AO612" s="445"/>
      <c r="AP612" s="463"/>
      <c r="AQ612" s="466"/>
    </row>
    <row r="613" spans="1:43" s="464" customFormat="1" ht="15" customHeight="1">
      <c r="A613" s="491" t="s">
        <v>2908</v>
      </c>
      <c r="B613" s="468" t="s">
        <v>3114</v>
      </c>
      <c r="C613" s="445" t="s">
        <v>2905</v>
      </c>
      <c r="D613" s="449" t="s">
        <v>707</v>
      </c>
      <c r="E613" s="445" t="s">
        <v>2912</v>
      </c>
      <c r="F613" s="420">
        <v>1</v>
      </c>
      <c r="G613" s="449" t="s">
        <v>3122</v>
      </c>
      <c r="H613" s="421" t="s">
        <v>968</v>
      </c>
      <c r="I613" s="455" t="s">
        <v>1467</v>
      </c>
      <c r="J613" s="449" t="s">
        <v>2584</v>
      </c>
      <c r="K613" s="533" t="s">
        <v>2001</v>
      </c>
      <c r="L613" s="425">
        <v>181.51900000000001</v>
      </c>
      <c r="M613" s="423">
        <v>0</v>
      </c>
      <c r="N613" s="431">
        <v>39448</v>
      </c>
      <c r="O613" s="425">
        <f>L613*5</f>
        <v>907.59500000000003</v>
      </c>
      <c r="P613" s="868" t="s">
        <v>728</v>
      </c>
      <c r="Q613" s="1087">
        <v>738.00099999999998</v>
      </c>
      <c r="R613" s="425"/>
      <c r="S613" s="425"/>
      <c r="T613" s="733">
        <v>41050</v>
      </c>
      <c r="U613" s="444">
        <v>40908</v>
      </c>
      <c r="V613" s="425">
        <v>726.07600000000002</v>
      </c>
      <c r="W613" s="400">
        <f t="shared" si="31"/>
        <v>1.0164239005283193</v>
      </c>
      <c r="X613" s="549" t="s">
        <v>728</v>
      </c>
      <c r="Y613" s="445" t="s">
        <v>3121</v>
      </c>
      <c r="Z613" s="445" t="s">
        <v>2889</v>
      </c>
      <c r="AA613" s="444">
        <v>40914</v>
      </c>
      <c r="AB613" s="733">
        <v>41061</v>
      </c>
      <c r="AC613" s="881">
        <v>40898</v>
      </c>
      <c r="AD613" s="444">
        <v>41036</v>
      </c>
      <c r="AE613" s="444"/>
      <c r="AF613" s="444"/>
      <c r="AG613" s="419"/>
      <c r="AH613" s="419">
        <v>0</v>
      </c>
      <c r="AI613" s="419"/>
      <c r="AJ613" s="740"/>
      <c r="AK613" s="419"/>
      <c r="AL613" s="419"/>
      <c r="AM613" s="419"/>
      <c r="AN613" s="419"/>
      <c r="AO613" s="445"/>
      <c r="AP613" s="463"/>
      <c r="AQ613" s="466"/>
    </row>
    <row r="614" spans="1:43" s="464" customFormat="1" ht="15" customHeight="1">
      <c r="A614" s="491" t="s">
        <v>2907</v>
      </c>
      <c r="B614" s="468" t="s">
        <v>3149</v>
      </c>
      <c r="C614" s="445" t="s">
        <v>2904</v>
      </c>
      <c r="D614" s="449" t="s">
        <v>707</v>
      </c>
      <c r="E614" s="445" t="s">
        <v>2906</v>
      </c>
      <c r="F614" s="420">
        <v>1</v>
      </c>
      <c r="G614" s="449" t="s">
        <v>3060</v>
      </c>
      <c r="H614" s="421" t="s">
        <v>968</v>
      </c>
      <c r="I614" s="455" t="s">
        <v>1467</v>
      </c>
      <c r="J614" s="445" t="s">
        <v>2584</v>
      </c>
      <c r="K614" s="533" t="s">
        <v>2001</v>
      </c>
      <c r="L614" s="425">
        <v>675.97</v>
      </c>
      <c r="M614" s="423">
        <v>0</v>
      </c>
      <c r="N614" s="431">
        <v>39448</v>
      </c>
      <c r="O614" s="425">
        <f>L614*5</f>
        <v>3379.8500000000004</v>
      </c>
      <c r="P614" s="868" t="s">
        <v>728</v>
      </c>
      <c r="Q614" s="1087"/>
      <c r="R614" s="425"/>
      <c r="S614" s="425"/>
      <c r="T614" s="733"/>
      <c r="U614" s="444"/>
      <c r="V614" s="425"/>
      <c r="W614" s="419"/>
      <c r="X614" s="543"/>
      <c r="Y614" s="445" t="s">
        <v>2887</v>
      </c>
      <c r="Z614" s="445" t="s">
        <v>2889</v>
      </c>
      <c r="AA614" s="444">
        <v>40914</v>
      </c>
      <c r="AB614" s="733">
        <v>41022</v>
      </c>
      <c r="AC614" s="881">
        <v>40890</v>
      </c>
      <c r="AD614" s="444">
        <v>40848</v>
      </c>
      <c r="AE614" s="444"/>
      <c r="AF614" s="444"/>
      <c r="AG614" s="419"/>
      <c r="AH614" s="419">
        <v>0</v>
      </c>
      <c r="AI614" s="419"/>
      <c r="AJ614" s="740"/>
      <c r="AK614" s="419"/>
      <c r="AL614" s="419"/>
      <c r="AM614" s="419"/>
      <c r="AN614" s="419"/>
      <c r="AO614" s="445"/>
      <c r="AP614" s="463"/>
      <c r="AQ614" s="466"/>
    </row>
    <row r="615" spans="1:43" s="464" customFormat="1" ht="12.75" customHeight="1">
      <c r="A615" s="491" t="s">
        <v>3157</v>
      </c>
      <c r="B615" s="468" t="s">
        <v>3169</v>
      </c>
      <c r="C615" s="445" t="s">
        <v>3150</v>
      </c>
      <c r="D615" s="449" t="s">
        <v>707</v>
      </c>
      <c r="E615" s="445" t="s">
        <v>3152</v>
      </c>
      <c r="F615" s="420">
        <v>1</v>
      </c>
      <c r="G615" s="420"/>
      <c r="H615" s="421" t="s">
        <v>968</v>
      </c>
      <c r="I615" s="455" t="s">
        <v>911</v>
      </c>
      <c r="J615" s="449" t="s">
        <v>1069</v>
      </c>
      <c r="K615" s="448" t="s">
        <v>2001</v>
      </c>
      <c r="L615" s="423">
        <f>O615/5</f>
        <v>948.1096</v>
      </c>
      <c r="M615" s="423">
        <v>35</v>
      </c>
      <c r="N615" s="431">
        <v>39448</v>
      </c>
      <c r="O615" s="425">
        <v>4740.5479999999998</v>
      </c>
      <c r="P615" s="937" t="s">
        <v>728</v>
      </c>
      <c r="Q615" s="1087">
        <f>3611.793+1031.286</f>
        <v>4643.0789999999997</v>
      </c>
      <c r="R615" s="425"/>
      <c r="S615" s="425"/>
      <c r="T615" s="733">
        <v>41100</v>
      </c>
      <c r="U615" s="444">
        <v>41243</v>
      </c>
      <c r="V615" s="425">
        <v>4655.547623794333</v>
      </c>
      <c r="W615" s="400">
        <f t="shared" ref="W615:W623" si="32">Q615/V615</f>
        <v>0.99732177075568795</v>
      </c>
      <c r="X615" s="543" t="s">
        <v>728</v>
      </c>
      <c r="Y615" s="445" t="s">
        <v>3151</v>
      </c>
      <c r="Z615" s="445" t="s">
        <v>2894</v>
      </c>
      <c r="AA615" s="444">
        <v>41086</v>
      </c>
      <c r="AB615" s="733"/>
      <c r="AC615" s="881">
        <v>41069</v>
      </c>
      <c r="AD615" s="444">
        <v>41003</v>
      </c>
      <c r="AE615" s="444"/>
      <c r="AF615" s="444"/>
      <c r="AG615" s="419"/>
      <c r="AH615" s="419">
        <v>0</v>
      </c>
      <c r="AI615" s="425"/>
      <c r="AJ615" s="419"/>
      <c r="AK615" s="419"/>
      <c r="AL615" s="419"/>
      <c r="AM615" s="419"/>
      <c r="AN615" s="419"/>
      <c r="AO615" s="532"/>
      <c r="AP615" s="463"/>
      <c r="AQ615" s="466"/>
    </row>
    <row r="616" spans="1:43" s="464" customFormat="1" ht="15" customHeight="1">
      <c r="A616" s="491" t="s">
        <v>2890</v>
      </c>
      <c r="B616" s="468" t="s">
        <v>3167</v>
      </c>
      <c r="C616" s="445" t="s">
        <v>2892</v>
      </c>
      <c r="D616" s="449" t="s">
        <v>707</v>
      </c>
      <c r="E616" s="445" t="s">
        <v>1998</v>
      </c>
      <c r="F616" s="420">
        <v>1</v>
      </c>
      <c r="G616" s="420"/>
      <c r="H616" s="421" t="s">
        <v>968</v>
      </c>
      <c r="I616" s="455" t="s">
        <v>911</v>
      </c>
      <c r="J616" s="445" t="s">
        <v>1069</v>
      </c>
      <c r="K616" s="533" t="s">
        <v>2001</v>
      </c>
      <c r="L616" s="425">
        <f>O616/5</f>
        <v>65.71520000000001</v>
      </c>
      <c r="M616" s="423">
        <v>20</v>
      </c>
      <c r="N616" s="431">
        <v>39448</v>
      </c>
      <c r="O616" s="425">
        <v>328.57600000000002</v>
      </c>
      <c r="P616" s="513" t="s">
        <v>728</v>
      </c>
      <c r="Q616" s="1087">
        <v>264.95800000000003</v>
      </c>
      <c r="R616" s="425"/>
      <c r="S616" s="425"/>
      <c r="T616" s="733">
        <v>41100</v>
      </c>
      <c r="U616" s="444">
        <v>40999</v>
      </c>
      <c r="V616" s="425">
        <v>247.34562167761311</v>
      </c>
      <c r="W616" s="400">
        <f t="shared" si="32"/>
        <v>1.071205539046665</v>
      </c>
      <c r="X616" s="543" t="s">
        <v>728</v>
      </c>
      <c r="Y616" s="445" t="s">
        <v>2893</v>
      </c>
      <c r="Z616" s="445" t="s">
        <v>2894</v>
      </c>
      <c r="AA616" s="444">
        <v>40906</v>
      </c>
      <c r="AB616" s="733"/>
      <c r="AC616" s="881">
        <v>40822</v>
      </c>
      <c r="AD616" s="444">
        <v>40812</v>
      </c>
      <c r="AE616" s="444"/>
      <c r="AF616" s="444"/>
      <c r="AG616" s="419"/>
      <c r="AH616" s="419">
        <v>0</v>
      </c>
      <c r="AI616" s="419"/>
      <c r="AJ616" s="740"/>
      <c r="AK616" s="419"/>
      <c r="AL616" s="419"/>
      <c r="AM616" s="419"/>
      <c r="AN616" s="419"/>
      <c r="AO616" s="445"/>
      <c r="AP616" s="463"/>
      <c r="AQ616" s="466"/>
    </row>
    <row r="617" spans="1:43" s="464" customFormat="1" ht="15" customHeight="1">
      <c r="A617" s="491" t="s">
        <v>3229</v>
      </c>
      <c r="B617" s="468" t="s">
        <v>3197</v>
      </c>
      <c r="C617" s="445" t="s">
        <v>3198</v>
      </c>
      <c r="D617" s="449" t="s">
        <v>707</v>
      </c>
      <c r="E617" s="445" t="s">
        <v>1043</v>
      </c>
      <c r="F617" s="420">
        <v>1</v>
      </c>
      <c r="G617" s="420"/>
      <c r="H617" s="448" t="s">
        <v>968</v>
      </c>
      <c r="I617" s="448" t="s">
        <v>1548</v>
      </c>
      <c r="J617" s="420" t="s">
        <v>2264</v>
      </c>
      <c r="K617" s="450" t="s">
        <v>2001</v>
      </c>
      <c r="L617" s="423">
        <v>498.23</v>
      </c>
      <c r="M617" s="423">
        <v>0</v>
      </c>
      <c r="N617" s="431">
        <v>39692</v>
      </c>
      <c r="O617" s="425">
        <v>2158.9960000000001</v>
      </c>
      <c r="P617" s="868" t="s">
        <v>728</v>
      </c>
      <c r="Q617" s="1087">
        <f>1780.653</f>
        <v>1780.653</v>
      </c>
      <c r="R617" s="425"/>
      <c r="S617" s="425"/>
      <c r="T617" s="733">
        <v>41100</v>
      </c>
      <c r="U617" s="444">
        <v>41029</v>
      </c>
      <c r="V617" s="425">
        <v>1825.0233150684933</v>
      </c>
      <c r="W617" s="400">
        <f t="shared" si="32"/>
        <v>0.97568780919008258</v>
      </c>
      <c r="X617" s="543" t="s">
        <v>728</v>
      </c>
      <c r="Y617" s="419" t="s">
        <v>2896</v>
      </c>
      <c r="Z617" s="445" t="s">
        <v>2897</v>
      </c>
      <c r="AA617" s="444">
        <v>41099</v>
      </c>
      <c r="AB617" s="733"/>
      <c r="AC617" s="881">
        <v>41096</v>
      </c>
      <c r="AD617" s="444">
        <v>41074</v>
      </c>
      <c r="AE617" s="444"/>
      <c r="AF617" s="444"/>
      <c r="AG617" s="419"/>
      <c r="AH617" s="419">
        <v>0</v>
      </c>
      <c r="AI617" s="425"/>
      <c r="AJ617" s="419"/>
      <c r="AK617" s="419"/>
      <c r="AL617" s="419"/>
      <c r="AM617" s="419"/>
      <c r="AN617" s="419"/>
      <c r="AO617" s="532"/>
      <c r="AP617" s="463"/>
      <c r="AQ617" s="466"/>
    </row>
    <row r="618" spans="1:43" s="464" customFormat="1" ht="15" customHeight="1">
      <c r="A618" s="491" t="s">
        <v>3237</v>
      </c>
      <c r="B618" s="468" t="s">
        <v>3212</v>
      </c>
      <c r="C618" s="445" t="s">
        <v>3213</v>
      </c>
      <c r="D618" s="449" t="s">
        <v>707</v>
      </c>
      <c r="E618" s="445" t="s">
        <v>1043</v>
      </c>
      <c r="F618" s="419">
        <v>1</v>
      </c>
      <c r="G618" s="419"/>
      <c r="H618" s="421" t="s">
        <v>968</v>
      </c>
      <c r="I618" s="448" t="s">
        <v>1548</v>
      </c>
      <c r="J618" s="419" t="s">
        <v>2264</v>
      </c>
      <c r="K618" s="455" t="s">
        <v>2001</v>
      </c>
      <c r="L618" s="423">
        <f>O618/5</f>
        <v>372.69659999999999</v>
      </c>
      <c r="M618" s="423">
        <v>0</v>
      </c>
      <c r="N618" s="431">
        <v>39722</v>
      </c>
      <c r="O618" s="425">
        <v>1863.4829999999999</v>
      </c>
      <c r="P618" s="868" t="s">
        <v>728</v>
      </c>
      <c r="Q618" s="1087">
        <v>1601.105</v>
      </c>
      <c r="R618" s="425"/>
      <c r="S618" s="425"/>
      <c r="T618" s="733">
        <v>41101</v>
      </c>
      <c r="U618" s="444">
        <v>41060</v>
      </c>
      <c r="V618" s="425">
        <v>1366.2138378082191</v>
      </c>
      <c r="W618" s="400">
        <f t="shared" si="32"/>
        <v>1.1719285485854913</v>
      </c>
      <c r="X618" s="543" t="s">
        <v>728</v>
      </c>
      <c r="Y618" s="419" t="s">
        <v>2896</v>
      </c>
      <c r="Z618" s="462" t="s">
        <v>2897</v>
      </c>
      <c r="AA618" s="444">
        <v>41120</v>
      </c>
      <c r="AB618" s="444"/>
      <c r="AC618" s="881">
        <v>41096</v>
      </c>
      <c r="AD618" s="444">
        <v>41094</v>
      </c>
      <c r="AE618" s="444"/>
      <c r="AF618" s="444"/>
      <c r="AG618" s="419"/>
      <c r="AH618" s="419">
        <v>0</v>
      </c>
      <c r="AI618" s="425"/>
      <c r="AJ618" s="419"/>
      <c r="AK618" s="419"/>
      <c r="AL618" s="419"/>
      <c r="AM618" s="419"/>
      <c r="AN618" s="419"/>
      <c r="AO618" s="532"/>
      <c r="AP618" s="463"/>
      <c r="AQ618" s="466"/>
    </row>
    <row r="619" spans="1:43" s="464" customFormat="1" ht="15" customHeight="1">
      <c r="A619" s="491" t="s">
        <v>3235</v>
      </c>
      <c r="B619" s="468" t="s">
        <v>3210</v>
      </c>
      <c r="C619" s="445" t="s">
        <v>3211</v>
      </c>
      <c r="D619" s="449" t="s">
        <v>707</v>
      </c>
      <c r="E619" s="445" t="s">
        <v>1043</v>
      </c>
      <c r="F619" s="419">
        <v>1</v>
      </c>
      <c r="G619" s="419"/>
      <c r="H619" s="421" t="s">
        <v>968</v>
      </c>
      <c r="I619" s="471" t="s">
        <v>1548</v>
      </c>
      <c r="J619" s="419" t="s">
        <v>235</v>
      </c>
      <c r="K619" s="448" t="s">
        <v>2001</v>
      </c>
      <c r="L619" s="423">
        <f>O619/5</f>
        <v>69.778199999999998</v>
      </c>
      <c r="M619" s="423">
        <v>0</v>
      </c>
      <c r="N619" s="431">
        <v>39448</v>
      </c>
      <c r="O619" s="425">
        <v>348.89100000000002</v>
      </c>
      <c r="P619" s="868" t="s">
        <v>728</v>
      </c>
      <c r="Q619" s="1087">
        <f>269.074+43.127</f>
        <v>312.20100000000002</v>
      </c>
      <c r="R619" s="425"/>
      <c r="S619" s="425"/>
      <c r="T619" s="733">
        <v>41143</v>
      </c>
      <c r="U619" s="444">
        <v>41090</v>
      </c>
      <c r="V619" s="425">
        <v>313.90631342465753</v>
      </c>
      <c r="W619" s="400">
        <f t="shared" si="32"/>
        <v>0.9945674446427889</v>
      </c>
      <c r="X619" s="543" t="s">
        <v>728</v>
      </c>
      <c r="Y619" s="445" t="s">
        <v>2112</v>
      </c>
      <c r="Z619" s="445" t="s">
        <v>2646</v>
      </c>
      <c r="AA619" s="444">
        <v>41108</v>
      </c>
      <c r="AB619" s="733"/>
      <c r="AC619" s="881">
        <v>41085</v>
      </c>
      <c r="AD619" s="444">
        <v>41036</v>
      </c>
      <c r="AE619" s="444"/>
      <c r="AF619" s="444"/>
      <c r="AG619" s="419"/>
      <c r="AH619" s="419">
        <v>0</v>
      </c>
      <c r="AI619" s="425"/>
      <c r="AJ619" s="419"/>
      <c r="AK619" s="419"/>
      <c r="AL619" s="419"/>
      <c r="AM619" s="419"/>
      <c r="AN619" s="419"/>
      <c r="AO619" s="532"/>
      <c r="AP619" s="463"/>
      <c r="AQ619" s="466"/>
    </row>
    <row r="620" spans="1:43" s="464" customFormat="1" ht="27.75" customHeight="1">
      <c r="A620" s="491" t="s">
        <v>3289</v>
      </c>
      <c r="B620" s="468" t="s">
        <v>3254</v>
      </c>
      <c r="C620" s="445" t="s">
        <v>3271</v>
      </c>
      <c r="D620" s="449" t="s">
        <v>707</v>
      </c>
      <c r="E620" s="445" t="s">
        <v>1998</v>
      </c>
      <c r="F620" s="419">
        <v>1</v>
      </c>
      <c r="G620" s="419"/>
      <c r="H620" s="421" t="s">
        <v>968</v>
      </c>
      <c r="I620" s="471" t="s">
        <v>1548</v>
      </c>
      <c r="J620" s="419" t="s">
        <v>235</v>
      </c>
      <c r="K620" s="448" t="s">
        <v>2001</v>
      </c>
      <c r="L620" s="423">
        <f>O620/5</f>
        <v>645.07659999999998</v>
      </c>
      <c r="M620" s="423">
        <v>100</v>
      </c>
      <c r="N620" s="431">
        <v>39448</v>
      </c>
      <c r="O620" s="425">
        <v>3225.3829999999998</v>
      </c>
      <c r="P620" s="868" t="s">
        <v>728</v>
      </c>
      <c r="Q620" s="1087">
        <f>2292.36+309.494+214.606</f>
        <v>2816.46</v>
      </c>
      <c r="R620" s="425"/>
      <c r="S620" s="425"/>
      <c r="T620" s="733">
        <v>41131</v>
      </c>
      <c r="U620" s="444">
        <v>41274</v>
      </c>
      <c r="V620" s="425">
        <v>3227.8356399624699</v>
      </c>
      <c r="W620" s="400">
        <f t="shared" si="32"/>
        <v>0.87255372148773569</v>
      </c>
      <c r="X620" s="543" t="s">
        <v>728</v>
      </c>
      <c r="Y620" s="445" t="s">
        <v>2112</v>
      </c>
      <c r="Z620" s="462" t="s">
        <v>3272</v>
      </c>
      <c r="AA620" s="444">
        <v>41141</v>
      </c>
      <c r="AB620" s="733"/>
      <c r="AC620" s="881">
        <v>41124</v>
      </c>
      <c r="AD620" s="444">
        <v>41066</v>
      </c>
      <c r="AE620" s="444"/>
      <c r="AF620" s="444"/>
      <c r="AG620" s="419"/>
      <c r="AH620" s="419">
        <v>0</v>
      </c>
      <c r="AI620" s="425"/>
      <c r="AJ620" s="423">
        <f>1.9/Exch!B11</f>
        <v>2.2502431446934765</v>
      </c>
      <c r="AK620" s="423">
        <f>AJ620*1000/L620</f>
        <v>3.4883347879825073</v>
      </c>
      <c r="AL620" s="419"/>
      <c r="AM620" s="419"/>
      <c r="AN620" s="419"/>
      <c r="AO620" s="532"/>
      <c r="AP620" s="463"/>
      <c r="AQ620" s="466"/>
    </row>
    <row r="621" spans="1:43" s="464" customFormat="1" ht="15" customHeight="1">
      <c r="A621" s="491" t="s">
        <v>3291</v>
      </c>
      <c r="B621" s="468" t="s">
        <v>3274</v>
      </c>
      <c r="C621" s="445" t="s">
        <v>3275</v>
      </c>
      <c r="D621" s="449" t="s">
        <v>707</v>
      </c>
      <c r="E621" s="445" t="s">
        <v>1110</v>
      </c>
      <c r="F621" s="419">
        <v>1</v>
      </c>
      <c r="G621" s="419"/>
      <c r="H621" s="421" t="s">
        <v>968</v>
      </c>
      <c r="I621" s="471" t="s">
        <v>1548</v>
      </c>
      <c r="J621" s="419" t="s">
        <v>235</v>
      </c>
      <c r="K621" s="448" t="s">
        <v>2001</v>
      </c>
      <c r="L621" s="423">
        <v>109.077</v>
      </c>
      <c r="M621" s="423">
        <v>0</v>
      </c>
      <c r="N621" s="431">
        <v>39448</v>
      </c>
      <c r="O621" s="425">
        <f>L621*5</f>
        <v>545.38499999999999</v>
      </c>
      <c r="P621" s="868" t="s">
        <v>728</v>
      </c>
      <c r="Q621" s="1087">
        <f>474.774+47.2</f>
        <v>521.97400000000005</v>
      </c>
      <c r="R621" s="425"/>
      <c r="S621" s="425"/>
      <c r="T621" s="733">
        <v>41129</v>
      </c>
      <c r="U621" s="444">
        <v>41243</v>
      </c>
      <c r="V621" s="425">
        <v>536.41976712328767</v>
      </c>
      <c r="W621" s="400">
        <f t="shared" si="32"/>
        <v>0.97307003207440057</v>
      </c>
      <c r="X621" s="543" t="s">
        <v>728</v>
      </c>
      <c r="Y621" s="445" t="s">
        <v>2674</v>
      </c>
      <c r="Z621" s="445" t="s">
        <v>3276</v>
      </c>
      <c r="AA621" s="444">
        <v>41143</v>
      </c>
      <c r="AB621" s="733"/>
      <c r="AC621" s="881">
        <v>41124</v>
      </c>
      <c r="AD621" s="444">
        <v>41100</v>
      </c>
      <c r="AE621" s="444"/>
      <c r="AF621" s="444"/>
      <c r="AG621" s="419"/>
      <c r="AH621" s="419">
        <v>0</v>
      </c>
      <c r="AI621" s="425"/>
      <c r="AJ621" s="736"/>
      <c r="AK621" s="423"/>
      <c r="AL621" s="419"/>
      <c r="AM621" s="419"/>
      <c r="AN621" s="419"/>
      <c r="AO621" s="532"/>
      <c r="AP621" s="463"/>
      <c r="AQ621" s="466"/>
    </row>
    <row r="622" spans="1:43" s="464" customFormat="1" ht="29.25" customHeight="1">
      <c r="A622" s="491" t="s">
        <v>3281</v>
      </c>
      <c r="B622" s="468" t="s">
        <v>3270</v>
      </c>
      <c r="C622" s="445" t="s">
        <v>3255</v>
      </c>
      <c r="D622" s="449" t="s">
        <v>707</v>
      </c>
      <c r="E622" s="445" t="s">
        <v>2416</v>
      </c>
      <c r="F622" s="419">
        <v>1</v>
      </c>
      <c r="G622" s="419"/>
      <c r="H622" s="421" t="s">
        <v>968</v>
      </c>
      <c r="I622" s="455" t="s">
        <v>1467</v>
      </c>
      <c r="J622" s="420" t="s">
        <v>2128</v>
      </c>
      <c r="K622" s="455" t="s">
        <v>1767</v>
      </c>
      <c r="L622" s="423">
        <f t="shared" ref="L622:L628" si="33">O622/5</f>
        <v>55.728200000000001</v>
      </c>
      <c r="M622" s="423">
        <v>0</v>
      </c>
      <c r="N622" s="431">
        <v>39448</v>
      </c>
      <c r="O622" s="425">
        <v>278.64100000000002</v>
      </c>
      <c r="P622" s="868" t="s">
        <v>728</v>
      </c>
      <c r="Q622" s="1087">
        <f>250.71</f>
        <v>250.71</v>
      </c>
      <c r="R622" s="425"/>
      <c r="S622" s="425"/>
      <c r="T622" s="733">
        <v>41122</v>
      </c>
      <c r="U622" s="444">
        <v>41090</v>
      </c>
      <c r="V622" s="425">
        <v>250.70056000000002</v>
      </c>
      <c r="W622" s="400">
        <f t="shared" si="32"/>
        <v>1.0000376544831011</v>
      </c>
      <c r="X622" s="543" t="s">
        <v>728</v>
      </c>
      <c r="Y622" s="445" t="s">
        <v>2893</v>
      </c>
      <c r="Z622" s="445" t="s">
        <v>3083</v>
      </c>
      <c r="AA622" s="444">
        <v>41127</v>
      </c>
      <c r="AB622" s="444"/>
      <c r="AC622" s="881">
        <v>41115</v>
      </c>
      <c r="AD622" s="444">
        <v>41100</v>
      </c>
      <c r="AE622" s="444"/>
      <c r="AF622" s="444"/>
      <c r="AG622" s="419"/>
      <c r="AH622" s="419">
        <v>0</v>
      </c>
      <c r="AI622" s="425"/>
      <c r="AJ622" s="740"/>
      <c r="AK622" s="419"/>
      <c r="AL622" s="419"/>
      <c r="AM622" s="419"/>
      <c r="AN622" s="419"/>
      <c r="AO622" s="532"/>
      <c r="AP622" s="463"/>
      <c r="AQ622" s="466"/>
    </row>
    <row r="623" spans="1:43" s="464" customFormat="1" ht="15" customHeight="1">
      <c r="A623" s="491" t="s">
        <v>3282</v>
      </c>
      <c r="B623" s="468" t="s">
        <v>3256</v>
      </c>
      <c r="C623" s="445" t="s">
        <v>3257</v>
      </c>
      <c r="D623" s="449" t="s">
        <v>707</v>
      </c>
      <c r="E623" s="445" t="s">
        <v>229</v>
      </c>
      <c r="F623" s="419">
        <v>1</v>
      </c>
      <c r="G623" s="445" t="s">
        <v>3712</v>
      </c>
      <c r="H623" s="421" t="s">
        <v>968</v>
      </c>
      <c r="I623" s="448" t="s">
        <v>1548</v>
      </c>
      <c r="J623" s="420" t="s">
        <v>2264</v>
      </c>
      <c r="K623" s="455" t="s">
        <v>2001</v>
      </c>
      <c r="L623" s="423">
        <f t="shared" si="33"/>
        <v>1061.5354</v>
      </c>
      <c r="M623" s="423">
        <v>250</v>
      </c>
      <c r="N623" s="431">
        <v>39448</v>
      </c>
      <c r="O623" s="425">
        <v>5307.6769999999997</v>
      </c>
      <c r="P623" s="868" t="s">
        <v>728</v>
      </c>
      <c r="Q623" s="1087">
        <f>5127.994+1008.644</f>
        <v>6136.6379999999999</v>
      </c>
      <c r="R623" s="425"/>
      <c r="S623" s="425"/>
      <c r="T623" s="733">
        <v>41124</v>
      </c>
      <c r="U623" s="444">
        <v>41243</v>
      </c>
      <c r="V623" s="425">
        <v>5169.9020881591287</v>
      </c>
      <c r="W623" s="400">
        <f t="shared" si="32"/>
        <v>1.1869930794347212</v>
      </c>
      <c r="X623" s="543" t="s">
        <v>728</v>
      </c>
      <c r="Y623" s="445" t="s">
        <v>2893</v>
      </c>
      <c r="Z623" s="445" t="s">
        <v>3083</v>
      </c>
      <c r="AA623" s="444">
        <v>41135</v>
      </c>
      <c r="AB623" s="894" t="s">
        <v>3713</v>
      </c>
      <c r="AC623" s="881">
        <v>41117</v>
      </c>
      <c r="AD623" s="444">
        <v>41106</v>
      </c>
      <c r="AE623" s="444"/>
      <c r="AF623" s="444"/>
      <c r="AG623" s="419"/>
      <c r="AH623" s="419">
        <v>0</v>
      </c>
      <c r="AI623" s="425"/>
      <c r="AJ623" s="740"/>
      <c r="AK623" s="419"/>
      <c r="AL623" s="419"/>
      <c r="AM623" s="419"/>
      <c r="AN623" s="419"/>
      <c r="AO623" s="532"/>
      <c r="AP623" s="463"/>
      <c r="AQ623" s="466"/>
    </row>
    <row r="624" spans="1:43" s="464" customFormat="1" ht="15" customHeight="1">
      <c r="A624" s="491" t="s">
        <v>3283</v>
      </c>
      <c r="B624" s="468" t="s">
        <v>3259</v>
      </c>
      <c r="C624" s="445" t="s">
        <v>3258</v>
      </c>
      <c r="D624" s="449" t="s">
        <v>707</v>
      </c>
      <c r="E624" s="445" t="s">
        <v>3260</v>
      </c>
      <c r="F624" s="419">
        <v>1</v>
      </c>
      <c r="G624" s="419"/>
      <c r="H624" s="421" t="s">
        <v>968</v>
      </c>
      <c r="I624" s="455" t="s">
        <v>1483</v>
      </c>
      <c r="J624" s="419" t="s">
        <v>2717</v>
      </c>
      <c r="K624" s="448" t="s">
        <v>2001</v>
      </c>
      <c r="L624" s="423">
        <f t="shared" si="33"/>
        <v>566.06940000000009</v>
      </c>
      <c r="M624" s="423">
        <v>0</v>
      </c>
      <c r="N624" s="431">
        <v>39448</v>
      </c>
      <c r="O624" s="425">
        <v>2830.3470000000002</v>
      </c>
      <c r="P624" s="868" t="s">
        <v>728</v>
      </c>
      <c r="Q624" s="1087"/>
      <c r="R624" s="425"/>
      <c r="S624" s="425"/>
      <c r="T624" s="733"/>
      <c r="U624" s="444"/>
      <c r="V624" s="425"/>
      <c r="W624" s="400"/>
      <c r="X624" s="543"/>
      <c r="Y624" s="445" t="s">
        <v>2112</v>
      </c>
      <c r="Z624" s="445" t="s">
        <v>2646</v>
      </c>
      <c r="AA624" s="444">
        <v>41137</v>
      </c>
      <c r="AB624" s="733"/>
      <c r="AC624" s="881">
        <v>41057</v>
      </c>
      <c r="AD624" s="444">
        <v>40934</v>
      </c>
      <c r="AE624" s="444"/>
      <c r="AF624" s="444"/>
      <c r="AG624" s="419"/>
      <c r="AH624" s="419">
        <v>0</v>
      </c>
      <c r="AI624" s="425"/>
      <c r="AJ624" s="423">
        <f>355/Exch!B11</f>
        <v>420.44016650851796</v>
      </c>
      <c r="AK624" s="423">
        <f>AJ624*1000/L624</f>
        <v>742.73607884213118</v>
      </c>
      <c r="AL624" s="419"/>
      <c r="AM624" s="419"/>
      <c r="AN624" s="419"/>
      <c r="AO624" s="532"/>
      <c r="AP624" s="463"/>
      <c r="AQ624" s="466"/>
    </row>
    <row r="625" spans="1:43" s="464" customFormat="1" ht="27" customHeight="1">
      <c r="A625" s="491" t="s">
        <v>3287</v>
      </c>
      <c r="B625" s="468" t="s">
        <v>3267</v>
      </c>
      <c r="C625" s="445" t="s">
        <v>3266</v>
      </c>
      <c r="D625" s="449" t="s">
        <v>707</v>
      </c>
      <c r="E625" s="445" t="s">
        <v>1043</v>
      </c>
      <c r="F625" s="419">
        <v>1</v>
      </c>
      <c r="G625" s="419"/>
      <c r="H625" s="421" t="s">
        <v>968</v>
      </c>
      <c r="I625" s="448" t="s">
        <v>1548</v>
      </c>
      <c r="J625" s="419" t="s">
        <v>2264</v>
      </c>
      <c r="K625" s="455" t="s">
        <v>2001</v>
      </c>
      <c r="L625" s="423">
        <f t="shared" si="33"/>
        <v>400.27539999999999</v>
      </c>
      <c r="M625" s="423">
        <v>0</v>
      </c>
      <c r="N625" s="431">
        <v>39479</v>
      </c>
      <c r="O625" s="425">
        <v>2001.377</v>
      </c>
      <c r="P625" s="868" t="s">
        <v>728</v>
      </c>
      <c r="Q625" s="1087">
        <f>2001.917</f>
        <v>2001.9169999999999</v>
      </c>
      <c r="R625" s="425"/>
      <c r="S625" s="425"/>
      <c r="T625" s="733">
        <v>41136</v>
      </c>
      <c r="U625" s="444">
        <v>40999</v>
      </c>
      <c r="V625" s="425">
        <v>1666.9002958904109</v>
      </c>
      <c r="W625" s="400">
        <f t="shared" ref="W625:W645" si="34">Q625/V625</f>
        <v>1.2009818493256865</v>
      </c>
      <c r="X625" s="543" t="s">
        <v>728</v>
      </c>
      <c r="Y625" s="419" t="s">
        <v>2896</v>
      </c>
      <c r="Z625" s="462" t="s">
        <v>2897</v>
      </c>
      <c r="AA625" s="444">
        <v>41137</v>
      </c>
      <c r="AB625" s="733"/>
      <c r="AC625" s="881">
        <v>41135</v>
      </c>
      <c r="AD625" s="444">
        <v>41114</v>
      </c>
      <c r="AE625" s="444"/>
      <c r="AF625" s="444"/>
      <c r="AG625" s="419"/>
      <c r="AH625" s="419">
        <v>0</v>
      </c>
      <c r="AI625" s="425"/>
      <c r="AJ625" s="740"/>
      <c r="AK625" s="419"/>
      <c r="AL625" s="419"/>
      <c r="AM625" s="419"/>
      <c r="AN625" s="419"/>
      <c r="AO625" s="532"/>
      <c r="AP625" s="463"/>
      <c r="AQ625" s="466"/>
    </row>
    <row r="626" spans="1:43" s="464" customFormat="1" ht="29.25" customHeight="1">
      <c r="A626" s="491" t="s">
        <v>3285</v>
      </c>
      <c r="B626" s="468" t="s">
        <v>3262</v>
      </c>
      <c r="C626" s="445" t="s">
        <v>3263</v>
      </c>
      <c r="D626" s="449" t="s">
        <v>707</v>
      </c>
      <c r="E626" s="445" t="s">
        <v>1043</v>
      </c>
      <c r="F626" s="419">
        <v>1</v>
      </c>
      <c r="G626" s="419"/>
      <c r="H626" s="421" t="s">
        <v>968</v>
      </c>
      <c r="I626" s="448" t="s">
        <v>1548</v>
      </c>
      <c r="J626" s="419" t="s">
        <v>2264</v>
      </c>
      <c r="K626" s="455" t="s">
        <v>2001</v>
      </c>
      <c r="L626" s="423">
        <f t="shared" si="33"/>
        <v>350.69639999999998</v>
      </c>
      <c r="M626" s="423">
        <v>0</v>
      </c>
      <c r="N626" s="431">
        <v>39479</v>
      </c>
      <c r="O626" s="425">
        <v>1753.482</v>
      </c>
      <c r="P626" s="868" t="s">
        <v>728</v>
      </c>
      <c r="Q626" s="1087">
        <f>1664.788</f>
        <v>1664.788</v>
      </c>
      <c r="R626" s="425"/>
      <c r="S626" s="425"/>
      <c r="T626" s="733">
        <v>41136</v>
      </c>
      <c r="U626" s="444">
        <v>41090</v>
      </c>
      <c r="V626" s="425">
        <v>1547.8682202739726</v>
      </c>
      <c r="W626" s="400">
        <f t="shared" si="34"/>
        <v>1.0755360037725514</v>
      </c>
      <c r="X626" s="543" t="s">
        <v>728</v>
      </c>
      <c r="Y626" s="419" t="s">
        <v>2896</v>
      </c>
      <c r="Z626" s="462" t="s">
        <v>2897</v>
      </c>
      <c r="AA626" s="444">
        <v>41137</v>
      </c>
      <c r="AB626" s="733"/>
      <c r="AC626" s="881">
        <v>41135</v>
      </c>
      <c r="AD626" s="444">
        <v>41114</v>
      </c>
      <c r="AE626" s="444"/>
      <c r="AF626" s="444"/>
      <c r="AG626" s="419"/>
      <c r="AH626" s="419">
        <v>0</v>
      </c>
      <c r="AI626" s="425"/>
      <c r="AJ626" s="740"/>
      <c r="AK626" s="419"/>
      <c r="AL626" s="419"/>
      <c r="AM626" s="419"/>
      <c r="AN626" s="419"/>
      <c r="AO626" s="532"/>
      <c r="AP626" s="463"/>
      <c r="AQ626" s="466"/>
    </row>
    <row r="627" spans="1:43" s="464" customFormat="1" ht="29.25" customHeight="1">
      <c r="A627" s="491" t="s">
        <v>3286</v>
      </c>
      <c r="B627" s="468" t="s">
        <v>3265</v>
      </c>
      <c r="C627" s="445" t="s">
        <v>3264</v>
      </c>
      <c r="D627" s="449" t="s">
        <v>707</v>
      </c>
      <c r="E627" s="445" t="s">
        <v>1043</v>
      </c>
      <c r="F627" s="419">
        <v>1</v>
      </c>
      <c r="G627" s="419"/>
      <c r="H627" s="421" t="s">
        <v>968</v>
      </c>
      <c r="I627" s="448" t="s">
        <v>1548</v>
      </c>
      <c r="J627" s="419" t="s">
        <v>2264</v>
      </c>
      <c r="K627" s="455" t="s">
        <v>2001</v>
      </c>
      <c r="L627" s="423">
        <f t="shared" si="33"/>
        <v>336.24979999999999</v>
      </c>
      <c r="M627" s="423">
        <v>0</v>
      </c>
      <c r="N627" s="431">
        <v>39479</v>
      </c>
      <c r="O627" s="425">
        <v>1681.249</v>
      </c>
      <c r="P627" s="868" t="s">
        <v>728</v>
      </c>
      <c r="Q627" s="1087">
        <f>1496.951</f>
        <v>1496.951</v>
      </c>
      <c r="R627" s="425"/>
      <c r="S627" s="425"/>
      <c r="T627" s="733">
        <v>41136</v>
      </c>
      <c r="U627" s="444">
        <v>41090</v>
      </c>
      <c r="V627" s="425">
        <v>1484.1052816438355</v>
      </c>
      <c r="W627" s="400">
        <f t="shared" si="34"/>
        <v>1.0086555303825455</v>
      </c>
      <c r="X627" s="543" t="s">
        <v>728</v>
      </c>
      <c r="Y627" s="419" t="s">
        <v>2896</v>
      </c>
      <c r="Z627" s="462" t="s">
        <v>2897</v>
      </c>
      <c r="AA627" s="444">
        <v>41137</v>
      </c>
      <c r="AB627" s="733"/>
      <c r="AC627" s="881">
        <v>41135</v>
      </c>
      <c r="AD627" s="444">
        <v>41114</v>
      </c>
      <c r="AE627" s="444"/>
      <c r="AF627" s="444"/>
      <c r="AG627" s="419"/>
      <c r="AH627" s="419">
        <v>0</v>
      </c>
      <c r="AI627" s="425"/>
      <c r="AJ627" s="740"/>
      <c r="AK627" s="419"/>
      <c r="AL627" s="419"/>
      <c r="AM627" s="419"/>
      <c r="AN627" s="419"/>
      <c r="AO627" s="532"/>
      <c r="AP627" s="463"/>
      <c r="AQ627" s="466"/>
    </row>
    <row r="628" spans="1:43" s="464" customFormat="1" ht="15" customHeight="1">
      <c r="A628" s="491" t="s">
        <v>3288</v>
      </c>
      <c r="B628" s="468" t="s">
        <v>3268</v>
      </c>
      <c r="C628" s="445" t="s">
        <v>3269</v>
      </c>
      <c r="D628" s="449" t="s">
        <v>707</v>
      </c>
      <c r="E628" s="445" t="s">
        <v>1043</v>
      </c>
      <c r="F628" s="419">
        <v>1</v>
      </c>
      <c r="G628" s="419"/>
      <c r="H628" s="421" t="s">
        <v>968</v>
      </c>
      <c r="I628" s="448" t="s">
        <v>1548</v>
      </c>
      <c r="J628" s="419" t="s">
        <v>2264</v>
      </c>
      <c r="K628" s="455" t="s">
        <v>2001</v>
      </c>
      <c r="L628" s="423">
        <f t="shared" si="33"/>
        <v>272.44940000000003</v>
      </c>
      <c r="M628" s="423">
        <v>0</v>
      </c>
      <c r="N628" s="431">
        <v>39479</v>
      </c>
      <c r="O628" s="425">
        <v>1362.2470000000001</v>
      </c>
      <c r="P628" s="868" t="s">
        <v>728</v>
      </c>
      <c r="Q628" s="1087">
        <f>1225.809</f>
        <v>1225.809</v>
      </c>
      <c r="R628" s="425"/>
      <c r="S628" s="425"/>
      <c r="T628" s="733">
        <v>41136</v>
      </c>
      <c r="U628" s="444">
        <v>41090</v>
      </c>
      <c r="V628" s="425">
        <v>1202.509543561644</v>
      </c>
      <c r="W628" s="400">
        <f t="shared" si="34"/>
        <v>1.0193756935760747</v>
      </c>
      <c r="X628" s="543" t="s">
        <v>728</v>
      </c>
      <c r="Y628" s="419" t="s">
        <v>2896</v>
      </c>
      <c r="Z628" s="462" t="s">
        <v>2897</v>
      </c>
      <c r="AA628" s="444">
        <v>41141</v>
      </c>
      <c r="AB628" s="733"/>
      <c r="AC628" s="881">
        <v>41135</v>
      </c>
      <c r="AD628" s="444">
        <v>41114</v>
      </c>
      <c r="AE628" s="444"/>
      <c r="AF628" s="444"/>
      <c r="AG628" s="419"/>
      <c r="AH628" s="419">
        <v>0</v>
      </c>
      <c r="AI628" s="425"/>
      <c r="AJ628" s="740"/>
      <c r="AK628" s="419"/>
      <c r="AL628" s="419"/>
      <c r="AM628" s="419"/>
      <c r="AN628" s="419"/>
      <c r="AO628" s="532"/>
      <c r="AP628" s="463"/>
      <c r="AQ628" s="466"/>
    </row>
    <row r="629" spans="1:43" s="464" customFormat="1" ht="25.5" customHeight="1">
      <c r="A629" s="491" t="s">
        <v>3303</v>
      </c>
      <c r="B629" s="468" t="s">
        <v>3313</v>
      </c>
      <c r="C629" s="445" t="s">
        <v>3295</v>
      </c>
      <c r="D629" s="449" t="s">
        <v>707</v>
      </c>
      <c r="E629" s="445" t="s">
        <v>229</v>
      </c>
      <c r="F629" s="419">
        <v>1</v>
      </c>
      <c r="G629" s="419"/>
      <c r="H629" s="421" t="s">
        <v>968</v>
      </c>
      <c r="I629" s="448" t="s">
        <v>1548</v>
      </c>
      <c r="J629" s="419" t="s">
        <v>2264</v>
      </c>
      <c r="K629" s="455" t="s">
        <v>2001</v>
      </c>
      <c r="L629" s="423">
        <v>513.97</v>
      </c>
      <c r="M629" s="423">
        <v>0</v>
      </c>
      <c r="N629" s="431">
        <v>39815</v>
      </c>
      <c r="O629" s="425">
        <v>2215.8809999999999</v>
      </c>
      <c r="P629" s="868" t="s">
        <v>728</v>
      </c>
      <c r="Q629" s="1087">
        <f>1991.975</f>
        <v>1991.9749999999999</v>
      </c>
      <c r="R629" s="425"/>
      <c r="S629" s="425"/>
      <c r="T629" s="733">
        <v>41151</v>
      </c>
      <c r="U629" s="444">
        <v>41121</v>
      </c>
      <c r="V629" s="425">
        <v>1839.0269041095892</v>
      </c>
      <c r="W629" s="400">
        <f t="shared" si="34"/>
        <v>1.0831679490651414</v>
      </c>
      <c r="X629" s="543" t="s">
        <v>728</v>
      </c>
      <c r="Y629" s="419" t="s">
        <v>2896</v>
      </c>
      <c r="Z629" s="445" t="s">
        <v>2897</v>
      </c>
      <c r="AA629" s="444">
        <v>41151</v>
      </c>
      <c r="AB629" s="733"/>
      <c r="AC629" s="881">
        <v>41149</v>
      </c>
      <c r="AD629" s="444">
        <v>40778</v>
      </c>
      <c r="AE629" s="444"/>
      <c r="AF629" s="444"/>
      <c r="AG629" s="419"/>
      <c r="AH629" s="419">
        <v>0</v>
      </c>
      <c r="AI629" s="425"/>
      <c r="AJ629" s="740"/>
      <c r="AK629" s="419"/>
      <c r="AL629" s="419"/>
      <c r="AM629" s="419"/>
      <c r="AN629" s="419"/>
      <c r="AO629" s="532"/>
      <c r="AP629" s="463"/>
      <c r="AQ629" s="466"/>
    </row>
    <row r="630" spans="1:43" s="464" customFormat="1" ht="27.75" customHeight="1">
      <c r="A630" s="491" t="s">
        <v>3304</v>
      </c>
      <c r="B630" s="468" t="s">
        <v>3314</v>
      </c>
      <c r="C630" s="445" t="s">
        <v>3296</v>
      </c>
      <c r="D630" s="449" t="s">
        <v>707</v>
      </c>
      <c r="E630" s="445" t="s">
        <v>229</v>
      </c>
      <c r="F630" s="419">
        <v>1</v>
      </c>
      <c r="G630" s="419"/>
      <c r="H630" s="421" t="s">
        <v>968</v>
      </c>
      <c r="I630" s="448" t="s">
        <v>1548</v>
      </c>
      <c r="J630" s="420" t="s">
        <v>2264</v>
      </c>
      <c r="K630" s="455" t="s">
        <v>2001</v>
      </c>
      <c r="L630" s="423">
        <v>487.09300000000002</v>
      </c>
      <c r="M630" s="423">
        <v>0</v>
      </c>
      <c r="N630" s="431">
        <v>39539</v>
      </c>
      <c r="O630" s="425">
        <v>2313.694</v>
      </c>
      <c r="P630" s="868" t="s">
        <v>728</v>
      </c>
      <c r="Q630" s="1087">
        <f>2117.222</f>
        <v>2117.2220000000002</v>
      </c>
      <c r="R630" s="425"/>
      <c r="S630" s="425"/>
      <c r="T630" s="733">
        <v>41151</v>
      </c>
      <c r="U630" s="444">
        <v>41121</v>
      </c>
      <c r="V630" s="425">
        <v>2111.1811671232877</v>
      </c>
      <c r="W630" s="400">
        <f t="shared" si="34"/>
        <v>1.0028613521997942</v>
      </c>
      <c r="X630" s="543" t="s">
        <v>728</v>
      </c>
      <c r="Y630" s="419" t="s">
        <v>2896</v>
      </c>
      <c r="Z630" s="445" t="s">
        <v>2897</v>
      </c>
      <c r="AA630" s="444">
        <v>41151</v>
      </c>
      <c r="AB630" s="733"/>
      <c r="AC630" s="881">
        <v>41149</v>
      </c>
      <c r="AD630" s="444">
        <v>40778</v>
      </c>
      <c r="AE630" s="444"/>
      <c r="AF630" s="444"/>
      <c r="AG630" s="419"/>
      <c r="AH630" s="419">
        <v>0</v>
      </c>
      <c r="AI630" s="425"/>
      <c r="AJ630" s="740"/>
      <c r="AK630" s="419"/>
      <c r="AL630" s="419"/>
      <c r="AM630" s="419"/>
      <c r="AN630" s="419"/>
      <c r="AO630" s="532"/>
      <c r="AP630" s="463"/>
      <c r="AQ630" s="466"/>
    </row>
    <row r="631" spans="1:43" s="464" customFormat="1" ht="27.75" customHeight="1">
      <c r="A631" s="491" t="s">
        <v>3345</v>
      </c>
      <c r="B631" s="468" t="s">
        <v>3317</v>
      </c>
      <c r="C631" s="445" t="s">
        <v>3318</v>
      </c>
      <c r="D631" s="449" t="s">
        <v>707</v>
      </c>
      <c r="E631" s="445" t="s">
        <v>3319</v>
      </c>
      <c r="F631" s="419">
        <v>1</v>
      </c>
      <c r="G631" s="419"/>
      <c r="H631" s="421" t="s">
        <v>968</v>
      </c>
      <c r="I631" s="471" t="s">
        <v>1548</v>
      </c>
      <c r="J631" s="420" t="s">
        <v>235</v>
      </c>
      <c r="K631" s="448" t="s">
        <v>2001</v>
      </c>
      <c r="L631" s="423">
        <f>O631/5</f>
        <v>105.50060000000001</v>
      </c>
      <c r="M631" s="423">
        <v>12</v>
      </c>
      <c r="N631" s="431">
        <v>39448</v>
      </c>
      <c r="O631" s="425">
        <v>527.50300000000004</v>
      </c>
      <c r="P631" s="868" t="s">
        <v>728</v>
      </c>
      <c r="Q631" s="1087">
        <f>477.637</f>
        <v>477.637</v>
      </c>
      <c r="R631" s="425"/>
      <c r="S631" s="425"/>
      <c r="T631" s="733">
        <v>41176</v>
      </c>
      <c r="U631" s="444">
        <v>41121</v>
      </c>
      <c r="V631" s="425">
        <v>472.11587830362168</v>
      </c>
      <c r="W631" s="400">
        <f t="shared" si="34"/>
        <v>1.0116944206922598</v>
      </c>
      <c r="X631" s="543" t="s">
        <v>728</v>
      </c>
      <c r="Y631" s="445" t="s">
        <v>2674</v>
      </c>
      <c r="Z631" s="445" t="s">
        <v>3320</v>
      </c>
      <c r="AA631" s="444">
        <v>41164</v>
      </c>
      <c r="AB631" s="733"/>
      <c r="AC631" s="881">
        <v>41152</v>
      </c>
      <c r="AD631" s="444">
        <v>41107</v>
      </c>
      <c r="AE631" s="444"/>
      <c r="AF631" s="444"/>
      <c r="AG631" s="419"/>
      <c r="AH631" s="419">
        <v>0</v>
      </c>
      <c r="AI631" s="425"/>
      <c r="AJ631" s="740"/>
      <c r="AK631" s="419"/>
      <c r="AL631" s="419"/>
      <c r="AM631" s="419"/>
      <c r="AN631" s="419"/>
      <c r="AO631" s="532"/>
      <c r="AP631" s="463"/>
      <c r="AQ631" s="466"/>
    </row>
    <row r="632" spans="1:43" s="464" customFormat="1" ht="25.5" customHeight="1">
      <c r="A632" s="491" t="s">
        <v>3346</v>
      </c>
      <c r="B632" s="468" t="s">
        <v>3321</v>
      </c>
      <c r="C632" s="445" t="s">
        <v>3322</v>
      </c>
      <c r="D632" s="449" t="s">
        <v>707</v>
      </c>
      <c r="E632" s="445" t="s">
        <v>1126</v>
      </c>
      <c r="F632" s="419">
        <v>1</v>
      </c>
      <c r="G632" s="419"/>
      <c r="H632" s="421" t="s">
        <v>968</v>
      </c>
      <c r="I632" s="471" t="s">
        <v>1548</v>
      </c>
      <c r="J632" s="419" t="s">
        <v>235</v>
      </c>
      <c r="K632" s="448" t="s">
        <v>2001</v>
      </c>
      <c r="L632" s="423">
        <f>O632/5</f>
        <v>126.60560000000001</v>
      </c>
      <c r="M632" s="423">
        <v>8</v>
      </c>
      <c r="N632" s="431">
        <v>39448</v>
      </c>
      <c r="O632" s="425">
        <v>633.02800000000002</v>
      </c>
      <c r="P632" s="868" t="s">
        <v>728</v>
      </c>
      <c r="Q632" s="1087">
        <f>531.826</f>
        <v>531.82600000000002</v>
      </c>
      <c r="R632" s="425"/>
      <c r="S632" s="425"/>
      <c r="T632" s="733">
        <v>41166</v>
      </c>
      <c r="U632" s="444">
        <v>41090</v>
      </c>
      <c r="V632" s="425">
        <v>560.52985736911251</v>
      </c>
      <c r="W632" s="400">
        <f t="shared" si="34"/>
        <v>0.94879156392518305</v>
      </c>
      <c r="X632" s="543" t="s">
        <v>728</v>
      </c>
      <c r="Y632" s="445" t="s">
        <v>2674</v>
      </c>
      <c r="Z632" s="462" t="s">
        <v>3323</v>
      </c>
      <c r="AA632" s="444">
        <v>41164</v>
      </c>
      <c r="AB632" s="733"/>
      <c r="AC632" s="881">
        <v>41152</v>
      </c>
      <c r="AD632" s="444">
        <v>41101</v>
      </c>
      <c r="AE632" s="444"/>
      <c r="AF632" s="444"/>
      <c r="AG632" s="419"/>
      <c r="AH632" s="419">
        <v>0</v>
      </c>
      <c r="AI632" s="425"/>
      <c r="AJ632" s="740"/>
      <c r="AK632" s="419"/>
      <c r="AL632" s="419"/>
      <c r="AM632" s="419"/>
      <c r="AN632" s="419"/>
      <c r="AO632" s="532"/>
      <c r="AP632" s="463"/>
      <c r="AQ632" s="466"/>
    </row>
    <row r="633" spans="1:43" s="464" customFormat="1" ht="46.5" customHeight="1">
      <c r="A633" s="491" t="s">
        <v>3347</v>
      </c>
      <c r="B633" s="468" t="s">
        <v>3327</v>
      </c>
      <c r="C633" s="445" t="s">
        <v>3328</v>
      </c>
      <c r="D633" s="449" t="s">
        <v>707</v>
      </c>
      <c r="E633" s="445" t="s">
        <v>3329</v>
      </c>
      <c r="F633" s="419">
        <v>1</v>
      </c>
      <c r="G633" s="419"/>
      <c r="H633" s="421" t="s">
        <v>968</v>
      </c>
      <c r="I633" s="471" t="s">
        <v>1548</v>
      </c>
      <c r="J633" s="419" t="s">
        <v>235</v>
      </c>
      <c r="K633" s="455" t="s">
        <v>882</v>
      </c>
      <c r="L633" s="423">
        <f>O633/5</f>
        <v>139.84459999999999</v>
      </c>
      <c r="M633" s="423">
        <v>4</v>
      </c>
      <c r="N633" s="431">
        <v>39448</v>
      </c>
      <c r="O633" s="425">
        <v>699.22299999999996</v>
      </c>
      <c r="P633" s="868" t="s">
        <v>728</v>
      </c>
      <c r="Q633" s="1087">
        <f>502.494+60.296</f>
        <v>562.79000000000008</v>
      </c>
      <c r="R633" s="425"/>
      <c r="S633" s="425"/>
      <c r="T633" s="733">
        <v>41169</v>
      </c>
      <c r="U633" s="444">
        <v>41090</v>
      </c>
      <c r="V633" s="425">
        <v>624.59817690373427</v>
      </c>
      <c r="W633" s="400">
        <f t="shared" si="34"/>
        <v>0.9010432960113165</v>
      </c>
      <c r="X633" s="543" t="s">
        <v>728</v>
      </c>
      <c r="Y633" s="445" t="s">
        <v>2674</v>
      </c>
      <c r="Z633" s="462" t="s">
        <v>3332</v>
      </c>
      <c r="AA633" s="444">
        <v>41165</v>
      </c>
      <c r="AB633" s="733"/>
      <c r="AC633" s="881">
        <v>41151</v>
      </c>
      <c r="AD633" s="444">
        <v>41091</v>
      </c>
      <c r="AE633" s="444"/>
      <c r="AF633" s="444"/>
      <c r="AG633" s="419"/>
      <c r="AH633" s="419">
        <v>0</v>
      </c>
      <c r="AI633" s="425"/>
      <c r="AJ633" s="423">
        <f>4.2/Exch!B11</f>
        <v>4.9742216882697905</v>
      </c>
      <c r="AK633" s="423">
        <f>AJ633*1000/L633</f>
        <v>35.569637213519798</v>
      </c>
      <c r="AL633" s="419"/>
      <c r="AM633" s="419"/>
      <c r="AN633" s="419"/>
      <c r="AO633" s="532"/>
      <c r="AP633" s="463"/>
      <c r="AQ633" s="466"/>
    </row>
    <row r="634" spans="1:43" s="464" customFormat="1" ht="42" customHeight="1">
      <c r="A634" s="491" t="s">
        <v>3348</v>
      </c>
      <c r="B634" s="468" t="s">
        <v>3331</v>
      </c>
      <c r="C634" s="445" t="s">
        <v>3333</v>
      </c>
      <c r="D634" s="449" t="s">
        <v>707</v>
      </c>
      <c r="E634" s="445" t="s">
        <v>229</v>
      </c>
      <c r="F634" s="419">
        <v>1</v>
      </c>
      <c r="G634" s="419"/>
      <c r="H634" s="421" t="s">
        <v>968</v>
      </c>
      <c r="I634" s="448" t="s">
        <v>1548</v>
      </c>
      <c r="J634" s="420" t="s">
        <v>2264</v>
      </c>
      <c r="K634" s="455" t="s">
        <v>2001</v>
      </c>
      <c r="L634" s="423">
        <f>O634/5</f>
        <v>1424.5378000000001</v>
      </c>
      <c r="M634" s="423">
        <v>0</v>
      </c>
      <c r="N634" s="431">
        <v>39787</v>
      </c>
      <c r="O634" s="425">
        <v>7122.6890000000003</v>
      </c>
      <c r="P634" s="868" t="s">
        <v>728</v>
      </c>
      <c r="Q634" s="1087">
        <f>1928.171+2263.902+2189.464+786.461</f>
        <v>7167.9980000000005</v>
      </c>
      <c r="R634" s="425"/>
      <c r="S634" s="425"/>
      <c r="T634" s="733">
        <v>41163</v>
      </c>
      <c r="U634" s="444">
        <v>41243</v>
      </c>
      <c r="V634" s="425">
        <v>5682.5398268493154</v>
      </c>
      <c r="W634" s="400">
        <f t="shared" si="34"/>
        <v>1.26140743723996</v>
      </c>
      <c r="X634" s="543" t="s">
        <v>728</v>
      </c>
      <c r="Y634" s="445" t="s">
        <v>2893</v>
      </c>
      <c r="Z634" s="462" t="s">
        <v>3083</v>
      </c>
      <c r="AA634" s="444">
        <v>41165</v>
      </c>
      <c r="AB634" s="733"/>
      <c r="AC634" s="881">
        <v>41138</v>
      </c>
      <c r="AD634" s="444">
        <v>41107</v>
      </c>
      <c r="AE634" s="444"/>
      <c r="AF634" s="444"/>
      <c r="AG634" s="419"/>
      <c r="AH634" s="419">
        <v>0</v>
      </c>
      <c r="AI634" s="425"/>
      <c r="AJ634" s="740"/>
      <c r="AK634" s="419"/>
      <c r="AL634" s="419"/>
      <c r="AM634" s="419"/>
      <c r="AN634" s="419"/>
      <c r="AO634" s="532"/>
      <c r="AP634" s="463"/>
      <c r="AQ634" s="466"/>
    </row>
    <row r="635" spans="1:43" s="464" customFormat="1" ht="43.5" customHeight="1">
      <c r="A635" s="491" t="s">
        <v>3349</v>
      </c>
      <c r="B635" s="468" t="s">
        <v>3330</v>
      </c>
      <c r="C635" s="445" t="s">
        <v>3334</v>
      </c>
      <c r="D635" s="449" t="s">
        <v>707</v>
      </c>
      <c r="E635" s="445" t="s">
        <v>229</v>
      </c>
      <c r="F635" s="419">
        <v>1</v>
      </c>
      <c r="G635" s="419"/>
      <c r="H635" s="421" t="s">
        <v>968</v>
      </c>
      <c r="I635" s="448" t="s">
        <v>1548</v>
      </c>
      <c r="J635" s="419" t="s">
        <v>2264</v>
      </c>
      <c r="K635" s="455" t="s">
        <v>2001</v>
      </c>
      <c r="L635" s="423">
        <v>1815.1010000000001</v>
      </c>
      <c r="M635" s="423">
        <v>0</v>
      </c>
      <c r="N635" s="431">
        <v>40817</v>
      </c>
      <c r="O635" s="425">
        <v>2268.8760000000002</v>
      </c>
      <c r="P635" s="868" t="s">
        <v>728</v>
      </c>
      <c r="Q635" s="1087">
        <f>1568.385+775.239</f>
        <v>2343.6239999999998</v>
      </c>
      <c r="R635" s="425"/>
      <c r="S635" s="425"/>
      <c r="T635" s="733">
        <v>41163</v>
      </c>
      <c r="U635" s="444">
        <v>41243</v>
      </c>
      <c r="V635" s="425">
        <v>2118.4466465753426</v>
      </c>
      <c r="W635" s="400">
        <f t="shared" si="34"/>
        <v>1.106293615554905</v>
      </c>
      <c r="X635" s="543" t="s">
        <v>728</v>
      </c>
      <c r="Y635" s="445" t="s">
        <v>2893</v>
      </c>
      <c r="Z635" s="445" t="s">
        <v>3083</v>
      </c>
      <c r="AA635" s="444">
        <v>41165</v>
      </c>
      <c r="AB635" s="733"/>
      <c r="AC635" s="881">
        <v>41138</v>
      </c>
      <c r="AD635" s="444">
        <v>41107</v>
      </c>
      <c r="AE635" s="444"/>
      <c r="AF635" s="444"/>
      <c r="AG635" s="419"/>
      <c r="AH635" s="419">
        <v>0</v>
      </c>
      <c r="AI635" s="425"/>
      <c r="AJ635" s="740"/>
      <c r="AK635" s="419"/>
      <c r="AL635" s="419"/>
      <c r="AM635" s="419"/>
      <c r="AN635" s="419"/>
      <c r="AO635" s="532"/>
      <c r="AP635" s="463"/>
      <c r="AQ635" s="466"/>
    </row>
    <row r="636" spans="1:43" s="464" customFormat="1" ht="39" customHeight="1">
      <c r="A636" s="491" t="s">
        <v>3350</v>
      </c>
      <c r="B636" s="468" t="s">
        <v>3341</v>
      </c>
      <c r="C636" s="445" t="s">
        <v>3342</v>
      </c>
      <c r="D636" s="449" t="s">
        <v>707</v>
      </c>
      <c r="E636" s="445" t="s">
        <v>1043</v>
      </c>
      <c r="F636" s="419">
        <v>1</v>
      </c>
      <c r="G636" s="419"/>
      <c r="H636" s="421" t="s">
        <v>968</v>
      </c>
      <c r="I636" s="448" t="s">
        <v>1548</v>
      </c>
      <c r="J636" s="419" t="s">
        <v>2264</v>
      </c>
      <c r="K636" s="455" t="s">
        <v>2001</v>
      </c>
      <c r="L636" s="423">
        <f>O636/5</f>
        <v>440.51220000000001</v>
      </c>
      <c r="M636" s="423">
        <v>-200</v>
      </c>
      <c r="N636" s="431">
        <v>39448</v>
      </c>
      <c r="O636" s="425">
        <v>2202.5610000000001</v>
      </c>
      <c r="P636" s="868" t="s">
        <v>728</v>
      </c>
      <c r="Q636" s="1087">
        <v>2165.8090000000002</v>
      </c>
      <c r="R636" s="425"/>
      <c r="S636" s="425"/>
      <c r="T636" s="733">
        <v>41164</v>
      </c>
      <c r="U636" s="444">
        <v>41121</v>
      </c>
      <c r="V636" s="425">
        <v>2209.9919111953463</v>
      </c>
      <c r="W636" s="400">
        <f t="shared" si="34"/>
        <v>0.98000765931697531</v>
      </c>
      <c r="X636" s="543" t="s">
        <v>728</v>
      </c>
      <c r="Y636" s="445" t="s">
        <v>2893</v>
      </c>
      <c r="Z636" s="445" t="s">
        <v>3343</v>
      </c>
      <c r="AA636" s="444">
        <v>41170</v>
      </c>
      <c r="AB636" s="733"/>
      <c r="AC636" s="881">
        <v>41163</v>
      </c>
      <c r="AD636" s="444">
        <v>41128</v>
      </c>
      <c r="AE636" s="444"/>
      <c r="AF636" s="444"/>
      <c r="AG636" s="419"/>
      <c r="AH636" s="419">
        <v>0</v>
      </c>
      <c r="AI636" s="425"/>
      <c r="AJ636" s="740"/>
      <c r="AK636" s="419"/>
      <c r="AL636" s="419"/>
      <c r="AM636" s="419"/>
      <c r="AN636" s="419"/>
      <c r="AO636" s="532"/>
      <c r="AP636" s="463"/>
      <c r="AQ636" s="466"/>
    </row>
    <row r="637" spans="1:43" s="464" customFormat="1" ht="42" customHeight="1">
      <c r="A637" s="491" t="s">
        <v>3352</v>
      </c>
      <c r="B637" s="468" t="s">
        <v>3370</v>
      </c>
      <c r="C637" s="445" t="s">
        <v>3337</v>
      </c>
      <c r="D637" s="449" t="s">
        <v>707</v>
      </c>
      <c r="E637" s="445" t="s">
        <v>2048</v>
      </c>
      <c r="F637" s="419">
        <v>1</v>
      </c>
      <c r="G637" s="419"/>
      <c r="H637" s="421" t="s">
        <v>968</v>
      </c>
      <c r="I637" s="471" t="s">
        <v>1736</v>
      </c>
      <c r="J637" s="552" t="s">
        <v>611</v>
      </c>
      <c r="K637" s="724" t="s">
        <v>3338</v>
      </c>
      <c r="L637" s="423">
        <f>O637/5</f>
        <v>21.0152</v>
      </c>
      <c r="M637" s="423">
        <v>10</v>
      </c>
      <c r="N637" s="431">
        <v>39448</v>
      </c>
      <c r="O637" s="425">
        <v>105.07599999999999</v>
      </c>
      <c r="P637" s="868" t="s">
        <v>728</v>
      </c>
      <c r="Q637" s="1087">
        <f>85.671</f>
        <v>85.671000000000006</v>
      </c>
      <c r="R637" s="425"/>
      <c r="S637" s="425"/>
      <c r="T637" s="894">
        <v>41263</v>
      </c>
      <c r="U637" s="444">
        <v>41243</v>
      </c>
      <c r="V637" s="425">
        <v>101.32770621129666</v>
      </c>
      <c r="W637" s="400">
        <f t="shared" si="34"/>
        <v>0.84548445043601372</v>
      </c>
      <c r="X637" s="543" t="s">
        <v>728</v>
      </c>
      <c r="Y637" s="445" t="s">
        <v>1048</v>
      </c>
      <c r="Z637" s="445" t="s">
        <v>3339</v>
      </c>
      <c r="AA637" s="444">
        <v>41172</v>
      </c>
      <c r="AB637" s="733"/>
      <c r="AC637" s="881">
        <v>40890</v>
      </c>
      <c r="AD637" s="444">
        <v>40749</v>
      </c>
      <c r="AE637" s="444"/>
      <c r="AF637" s="444"/>
      <c r="AG637" s="419"/>
      <c r="AH637" s="419">
        <v>0</v>
      </c>
      <c r="AI637" s="425"/>
      <c r="AJ637" s="740"/>
      <c r="AK637" s="419"/>
      <c r="AL637" s="419"/>
      <c r="AM637" s="419"/>
      <c r="AN637" s="419"/>
      <c r="AO637" s="532"/>
      <c r="AP637" s="463"/>
      <c r="AQ637" s="466"/>
    </row>
    <row r="638" spans="1:43" s="464" customFormat="1" ht="42" customHeight="1">
      <c r="A638" s="491" t="s">
        <v>2695</v>
      </c>
      <c r="B638" s="468" t="s">
        <v>3371</v>
      </c>
      <c r="C638" s="445" t="s">
        <v>3372</v>
      </c>
      <c r="D638" s="449" t="s">
        <v>707</v>
      </c>
      <c r="E638" s="445" t="s">
        <v>229</v>
      </c>
      <c r="F638" s="419">
        <v>1</v>
      </c>
      <c r="G638" s="445" t="s">
        <v>3931</v>
      </c>
      <c r="H638" s="421" t="s">
        <v>968</v>
      </c>
      <c r="I638" s="448" t="s">
        <v>1548</v>
      </c>
      <c r="J638" s="420" t="s">
        <v>2264</v>
      </c>
      <c r="K638" s="455" t="s">
        <v>2001</v>
      </c>
      <c r="L638" s="425">
        <v>1126.883</v>
      </c>
      <c r="M638" s="423">
        <v>-50</v>
      </c>
      <c r="N638" s="431">
        <v>39505</v>
      </c>
      <c r="O638" s="425">
        <v>5445.6009999999997</v>
      </c>
      <c r="P638" s="868" t="s">
        <v>728</v>
      </c>
      <c r="Q638" s="1087">
        <f>1650.128+1955.673+1762.741+498.395</f>
        <v>5866.9369999999999</v>
      </c>
      <c r="R638" s="425"/>
      <c r="S638" s="425"/>
      <c r="T638" s="733">
        <v>41159</v>
      </c>
      <c r="U638" s="444">
        <v>41243</v>
      </c>
      <c r="V638" s="425">
        <v>5394.1896694314128</v>
      </c>
      <c r="W638" s="400">
        <f t="shared" si="34"/>
        <v>1.087640101579598</v>
      </c>
      <c r="X638" s="543" t="s">
        <v>728</v>
      </c>
      <c r="Y638" s="445" t="s">
        <v>2893</v>
      </c>
      <c r="Z638" s="445" t="s">
        <v>3083</v>
      </c>
      <c r="AA638" s="444">
        <v>40837</v>
      </c>
      <c r="AB638" s="550">
        <v>41184</v>
      </c>
      <c r="AC638" s="881">
        <v>41152</v>
      </c>
      <c r="AD638" s="444">
        <v>41128</v>
      </c>
      <c r="AE638" s="444"/>
      <c r="AF638" s="444"/>
      <c r="AG638" s="423"/>
      <c r="AH638" s="423">
        <v>0</v>
      </c>
      <c r="AI638" s="425"/>
      <c r="AJ638" s="736"/>
      <c r="AK638" s="423"/>
      <c r="AL638" s="423"/>
      <c r="AM638" s="423"/>
      <c r="AN638" s="423"/>
      <c r="AO638" s="419"/>
      <c r="AP638" s="463"/>
      <c r="AQ638" s="782"/>
    </row>
    <row r="639" spans="1:43" s="464" customFormat="1" ht="42" customHeight="1">
      <c r="A639" s="491" t="s">
        <v>3462</v>
      </c>
      <c r="B639" s="468" t="s">
        <v>3373</v>
      </c>
      <c r="C639" s="445" t="s">
        <v>3374</v>
      </c>
      <c r="D639" s="449" t="s">
        <v>707</v>
      </c>
      <c r="E639" s="445" t="s">
        <v>229</v>
      </c>
      <c r="F639" s="419">
        <v>1</v>
      </c>
      <c r="G639" s="419"/>
      <c r="H639" s="421" t="s">
        <v>968</v>
      </c>
      <c r="I639" s="448" t="s">
        <v>1548</v>
      </c>
      <c r="J639" s="420" t="s">
        <v>2264</v>
      </c>
      <c r="K639" s="455" t="s">
        <v>2001</v>
      </c>
      <c r="L639" s="425">
        <v>1831.366</v>
      </c>
      <c r="M639" s="423">
        <v>0</v>
      </c>
      <c r="N639" s="431">
        <v>39539</v>
      </c>
      <c r="O639" s="425">
        <v>8698.99</v>
      </c>
      <c r="P639" s="868" t="s">
        <v>728</v>
      </c>
      <c r="Q639" s="1087">
        <f>2246.561+2904.172+2852.091+761.493</f>
        <v>8764.3170000000009</v>
      </c>
      <c r="R639" s="425"/>
      <c r="S639" s="425"/>
      <c r="T639" s="733">
        <v>41159</v>
      </c>
      <c r="U639" s="444">
        <v>41243</v>
      </c>
      <c r="V639" s="425">
        <v>8549.7196273972604</v>
      </c>
      <c r="W639" s="400">
        <f t="shared" si="34"/>
        <v>1.025099930986634</v>
      </c>
      <c r="X639" s="543" t="s">
        <v>728</v>
      </c>
      <c r="Y639" s="419" t="s">
        <v>2698</v>
      </c>
      <c r="Z639" s="445" t="s">
        <v>3083</v>
      </c>
      <c r="AA639" s="496">
        <v>41184</v>
      </c>
      <c r="AB639" s="550"/>
      <c r="AC639" s="881">
        <v>41157</v>
      </c>
      <c r="AD639" s="444">
        <v>41116</v>
      </c>
      <c r="AE639" s="444"/>
      <c r="AF639" s="444"/>
      <c r="AG639" s="423"/>
      <c r="AH639" s="423">
        <v>0</v>
      </c>
      <c r="AI639" s="425"/>
      <c r="AJ639" s="736"/>
      <c r="AK639" s="423"/>
      <c r="AL639" s="423"/>
      <c r="AM639" s="423"/>
      <c r="AN639" s="423"/>
      <c r="AO639" s="419"/>
      <c r="AP639" s="463"/>
      <c r="AQ639" s="782"/>
    </row>
    <row r="640" spans="1:43" s="464" customFormat="1" ht="42.75" customHeight="1">
      <c r="A640" s="491" t="s">
        <v>3468</v>
      </c>
      <c r="B640" s="468" t="s">
        <v>3375</v>
      </c>
      <c r="C640" s="445" t="s">
        <v>3381</v>
      </c>
      <c r="D640" s="420" t="s">
        <v>707</v>
      </c>
      <c r="E640" s="419" t="s">
        <v>20</v>
      </c>
      <c r="F640" s="419">
        <v>1</v>
      </c>
      <c r="G640" s="419"/>
      <c r="H640" s="421" t="s">
        <v>968</v>
      </c>
      <c r="I640" s="455" t="s">
        <v>911</v>
      </c>
      <c r="J640" s="552" t="s">
        <v>1070</v>
      </c>
      <c r="K640" s="455" t="s">
        <v>2001</v>
      </c>
      <c r="L640" s="425">
        <v>46.061999999999998</v>
      </c>
      <c r="M640" s="423">
        <v>-10</v>
      </c>
      <c r="N640" s="431">
        <v>39448</v>
      </c>
      <c r="O640" s="425">
        <v>230.31</v>
      </c>
      <c r="P640" s="868" t="s">
        <v>728</v>
      </c>
      <c r="Q640" s="1087">
        <f>188.552</f>
        <v>188.55199999999999</v>
      </c>
      <c r="R640" s="425"/>
      <c r="S640" s="425"/>
      <c r="T640" s="733">
        <v>41173</v>
      </c>
      <c r="U640" s="444">
        <v>40908</v>
      </c>
      <c r="V640" s="425">
        <v>204.24799999999999</v>
      </c>
      <c r="W640" s="400">
        <f t="shared" si="34"/>
        <v>0.92315224628882531</v>
      </c>
      <c r="X640" s="543" t="s">
        <v>728</v>
      </c>
      <c r="Y640" s="445" t="s">
        <v>2112</v>
      </c>
      <c r="Z640" s="462" t="s">
        <v>2646</v>
      </c>
      <c r="AA640" s="496">
        <v>41185</v>
      </c>
      <c r="AB640" s="550"/>
      <c r="AC640" s="881">
        <v>41163</v>
      </c>
      <c r="AD640" s="444">
        <v>41141</v>
      </c>
      <c r="AE640" s="444"/>
      <c r="AF640" s="444"/>
      <c r="AG640" s="423"/>
      <c r="AH640" s="423">
        <v>0</v>
      </c>
      <c r="AI640" s="425"/>
      <c r="AJ640" s="423">
        <f>9/Exch!B11</f>
        <v>10.659046474863837</v>
      </c>
      <c r="AK640" s="423">
        <f>AJ640*1000/L640</f>
        <v>231.40650590212837</v>
      </c>
      <c r="AL640" s="423"/>
      <c r="AM640" s="423"/>
      <c r="AN640" s="423"/>
      <c r="AO640" s="419"/>
      <c r="AP640" s="463"/>
      <c r="AQ640" s="782"/>
    </row>
    <row r="641" spans="1:43" s="464" customFormat="1" ht="40.5" customHeight="1">
      <c r="A641" s="491" t="s">
        <v>3475</v>
      </c>
      <c r="B641" s="468" t="s">
        <v>3376</v>
      </c>
      <c r="C641" s="445" t="s">
        <v>3382</v>
      </c>
      <c r="D641" s="449" t="s">
        <v>707</v>
      </c>
      <c r="E641" s="445" t="s">
        <v>1043</v>
      </c>
      <c r="F641" s="419">
        <v>1</v>
      </c>
      <c r="G641" s="419"/>
      <c r="H641" s="421" t="s">
        <v>968</v>
      </c>
      <c r="I641" s="448" t="s">
        <v>1548</v>
      </c>
      <c r="J641" s="419" t="s">
        <v>2264</v>
      </c>
      <c r="K641" s="455" t="s">
        <v>2001</v>
      </c>
      <c r="L641" s="425">
        <f>O641/5</f>
        <v>181.41320000000002</v>
      </c>
      <c r="M641" s="423">
        <v>0</v>
      </c>
      <c r="N641" s="431">
        <v>39448</v>
      </c>
      <c r="O641" s="425">
        <v>907.06600000000003</v>
      </c>
      <c r="P641" s="868" t="s">
        <v>728</v>
      </c>
      <c r="Q641" s="1087">
        <f>725.903+142.92</f>
        <v>868.82299999999998</v>
      </c>
      <c r="R641" s="425"/>
      <c r="S641" s="425"/>
      <c r="T641" s="733">
        <v>41179</v>
      </c>
      <c r="U641" s="444">
        <v>41182</v>
      </c>
      <c r="V641" s="425">
        <v>861.83695561643844</v>
      </c>
      <c r="W641" s="400">
        <f t="shared" si="34"/>
        <v>1.0081059930628813</v>
      </c>
      <c r="X641" s="543" t="s">
        <v>728</v>
      </c>
      <c r="Y641" s="445" t="s">
        <v>2674</v>
      </c>
      <c r="Z641" s="445" t="s">
        <v>3383</v>
      </c>
      <c r="AA641" s="496">
        <v>41190</v>
      </c>
      <c r="AB641" s="550"/>
      <c r="AC641" s="881">
        <v>41172</v>
      </c>
      <c r="AD641" s="444">
        <v>41128</v>
      </c>
      <c r="AE641" s="444"/>
      <c r="AF641" s="444"/>
      <c r="AG641" s="423"/>
      <c r="AH641" s="423">
        <v>0</v>
      </c>
      <c r="AI641" s="425"/>
      <c r="AJ641" s="423">
        <f>25.58/Exch!B11</f>
        <v>30.295378758557433</v>
      </c>
      <c r="AK641" s="423">
        <f>AJ641*1000/L641</f>
        <v>166.99655129041011</v>
      </c>
      <c r="AL641" s="423"/>
      <c r="AM641" s="423"/>
      <c r="AN641" s="423"/>
      <c r="AO641" s="419"/>
      <c r="AP641" s="463"/>
      <c r="AQ641" s="782"/>
    </row>
    <row r="642" spans="1:43" s="464" customFormat="1" ht="15.75" customHeight="1">
      <c r="A642" s="491" t="s">
        <v>3469</v>
      </c>
      <c r="B642" s="468" t="s">
        <v>3377</v>
      </c>
      <c r="C642" s="445" t="s">
        <v>3384</v>
      </c>
      <c r="D642" s="449" t="s">
        <v>707</v>
      </c>
      <c r="E642" s="445" t="s">
        <v>1043</v>
      </c>
      <c r="F642" s="419">
        <v>1</v>
      </c>
      <c r="G642" s="419"/>
      <c r="H642" s="421" t="s">
        <v>968</v>
      </c>
      <c r="I642" s="448" t="s">
        <v>1548</v>
      </c>
      <c r="J642" s="420" t="s">
        <v>2264</v>
      </c>
      <c r="K642" s="455" t="s">
        <v>2001</v>
      </c>
      <c r="L642" s="425">
        <f>O642/5</f>
        <v>761.78819999999996</v>
      </c>
      <c r="M642" s="423">
        <v>0</v>
      </c>
      <c r="N642" s="431">
        <v>39448</v>
      </c>
      <c r="O642" s="425">
        <v>3808.9409999999998</v>
      </c>
      <c r="P642" s="868" t="s">
        <v>728</v>
      </c>
      <c r="Q642" s="1087">
        <f>3491.809</f>
        <v>3491.8090000000002</v>
      </c>
      <c r="R642" s="425"/>
      <c r="S642" s="425"/>
      <c r="T642" s="733">
        <v>41183</v>
      </c>
      <c r="U642" s="444">
        <v>41121</v>
      </c>
      <c r="V642" s="425">
        <v>3491.7031742465751</v>
      </c>
      <c r="W642" s="400">
        <f t="shared" si="34"/>
        <v>1.0000303077747861</v>
      </c>
      <c r="X642" s="543" t="s">
        <v>728</v>
      </c>
      <c r="Y642" s="419" t="s">
        <v>3385</v>
      </c>
      <c r="Z642" s="419" t="s">
        <v>3386</v>
      </c>
      <c r="AA642" s="496">
        <v>41185</v>
      </c>
      <c r="AB642" s="550"/>
      <c r="AC642" s="881">
        <v>41164</v>
      </c>
      <c r="AD642" s="444">
        <v>41149</v>
      </c>
      <c r="AE642" s="444"/>
      <c r="AF642" s="444"/>
      <c r="AG642" s="423"/>
      <c r="AH642" s="423">
        <v>0</v>
      </c>
      <c r="AI642" s="425"/>
      <c r="AJ642" s="736"/>
      <c r="AK642" s="423"/>
      <c r="AL642" s="423"/>
      <c r="AM642" s="423"/>
      <c r="AN642" s="423"/>
      <c r="AO642" s="419"/>
      <c r="AP642" s="463"/>
      <c r="AQ642" s="782"/>
    </row>
    <row r="643" spans="1:43" s="464" customFormat="1" ht="29.25" customHeight="1">
      <c r="A643" s="491" t="s">
        <v>3470</v>
      </c>
      <c r="B643" s="468" t="s">
        <v>3378</v>
      </c>
      <c r="C643" s="445" t="s">
        <v>3387</v>
      </c>
      <c r="D643" s="449" t="s">
        <v>707</v>
      </c>
      <c r="E643" s="445" t="s">
        <v>2079</v>
      </c>
      <c r="F643" s="419">
        <v>1</v>
      </c>
      <c r="G643" s="419"/>
      <c r="H643" s="421" t="s">
        <v>968</v>
      </c>
      <c r="I643" s="471" t="s">
        <v>1548</v>
      </c>
      <c r="J643" s="419" t="s">
        <v>235</v>
      </c>
      <c r="K643" s="455" t="s">
        <v>2001</v>
      </c>
      <c r="L643" s="425">
        <f>O643/5</f>
        <v>796.28320000000008</v>
      </c>
      <c r="M643" s="423">
        <v>0</v>
      </c>
      <c r="N643" s="431">
        <v>39448</v>
      </c>
      <c r="O643" s="425">
        <v>3981.4160000000002</v>
      </c>
      <c r="P643" s="868" t="s">
        <v>728</v>
      </c>
      <c r="Q643" s="1087">
        <f>3298.334+319.652</f>
        <v>3617.9859999999999</v>
      </c>
      <c r="R643" s="425"/>
      <c r="S643" s="425"/>
      <c r="T643" s="733">
        <v>41179</v>
      </c>
      <c r="U643" s="444">
        <v>41243</v>
      </c>
      <c r="V643" s="425">
        <v>3915.968065753425</v>
      </c>
      <c r="W643" s="400">
        <f t="shared" si="34"/>
        <v>0.92390589995884098</v>
      </c>
      <c r="X643" s="543" t="s">
        <v>728</v>
      </c>
      <c r="Y643" s="445" t="s">
        <v>2674</v>
      </c>
      <c r="Z643" s="445" t="s">
        <v>3388</v>
      </c>
      <c r="AA643" s="496">
        <v>41185</v>
      </c>
      <c r="AB643" s="550"/>
      <c r="AC643" s="881">
        <v>41157</v>
      </c>
      <c r="AD643" s="444">
        <v>41138</v>
      </c>
      <c r="AE643" s="444"/>
      <c r="AF643" s="444"/>
      <c r="AG643" s="423"/>
      <c r="AH643" s="423">
        <v>0</v>
      </c>
      <c r="AI643" s="425"/>
      <c r="AJ643" s="736"/>
      <c r="AK643" s="423"/>
      <c r="AL643" s="423"/>
      <c r="AM643" s="423"/>
      <c r="AN643" s="423"/>
      <c r="AO643" s="419"/>
      <c r="AP643" s="463"/>
      <c r="AQ643" s="782"/>
    </row>
    <row r="644" spans="1:43" s="464" customFormat="1" ht="42.75" customHeight="1">
      <c r="A644" s="491" t="s">
        <v>3471</v>
      </c>
      <c r="B644" s="468" t="s">
        <v>3379</v>
      </c>
      <c r="C644" s="445" t="s">
        <v>3389</v>
      </c>
      <c r="D644" s="449" t="s">
        <v>707</v>
      </c>
      <c r="E644" s="419" t="s">
        <v>3390</v>
      </c>
      <c r="F644" s="419">
        <v>1</v>
      </c>
      <c r="G644" s="419"/>
      <c r="H644" s="421" t="s">
        <v>968</v>
      </c>
      <c r="I644" s="471" t="s">
        <v>1548</v>
      </c>
      <c r="J644" s="419" t="s">
        <v>235</v>
      </c>
      <c r="K644" s="455" t="s">
        <v>3391</v>
      </c>
      <c r="L644" s="425">
        <f>O644/5</f>
        <v>512.93079999999998</v>
      </c>
      <c r="M644" s="423">
        <v>0</v>
      </c>
      <c r="N644" s="431">
        <v>39448</v>
      </c>
      <c r="O644" s="425">
        <v>2564.654</v>
      </c>
      <c r="P644" s="868" t="s">
        <v>728</v>
      </c>
      <c r="Q644" s="1087">
        <f>2134.726+226.39</f>
        <v>2361.116</v>
      </c>
      <c r="R644" s="425"/>
      <c r="S644" s="425"/>
      <c r="T644" s="733">
        <v>41179</v>
      </c>
      <c r="U644" s="444">
        <v>41243</v>
      </c>
      <c r="V644" s="425">
        <v>2522.4953041095887</v>
      </c>
      <c r="W644" s="400">
        <f t="shared" si="34"/>
        <v>0.93602394270202471</v>
      </c>
      <c r="X644" s="543" t="s">
        <v>728</v>
      </c>
      <c r="Y644" s="445" t="s">
        <v>2674</v>
      </c>
      <c r="Z644" s="419" t="s">
        <v>3392</v>
      </c>
      <c r="AA644" s="496">
        <v>41185</v>
      </c>
      <c r="AB644" s="550"/>
      <c r="AC644" s="881">
        <v>41164</v>
      </c>
      <c r="AD644" s="444">
        <v>41138</v>
      </c>
      <c r="AE644" s="444"/>
      <c r="AF644" s="444"/>
      <c r="AG644" s="423"/>
      <c r="AH644" s="423">
        <v>0</v>
      </c>
      <c r="AI644" s="425"/>
      <c r="AJ644" s="736"/>
      <c r="AK644" s="423"/>
      <c r="AL644" s="423"/>
      <c r="AM644" s="423"/>
      <c r="AN644" s="423"/>
      <c r="AO644" s="419"/>
      <c r="AP644" s="463"/>
      <c r="AQ644" s="782"/>
    </row>
    <row r="645" spans="1:43" s="464" customFormat="1" ht="30" customHeight="1">
      <c r="A645" s="491" t="s">
        <v>3472</v>
      </c>
      <c r="B645" s="468" t="s">
        <v>3380</v>
      </c>
      <c r="C645" s="445" t="s">
        <v>3393</v>
      </c>
      <c r="D645" s="420" t="s">
        <v>707</v>
      </c>
      <c r="E645" s="419" t="s">
        <v>3394</v>
      </c>
      <c r="F645" s="419">
        <v>1</v>
      </c>
      <c r="G645" s="419"/>
      <c r="H645" s="421" t="s">
        <v>968</v>
      </c>
      <c r="I645" s="471" t="s">
        <v>1548</v>
      </c>
      <c r="J645" s="419" t="s">
        <v>235</v>
      </c>
      <c r="K645" s="455" t="s">
        <v>3391</v>
      </c>
      <c r="L645" s="425">
        <f>O645/5</f>
        <v>337.69259999999997</v>
      </c>
      <c r="M645" s="423">
        <v>0</v>
      </c>
      <c r="N645" s="431">
        <v>39448</v>
      </c>
      <c r="O645" s="425">
        <v>1688.463</v>
      </c>
      <c r="P645" s="868" t="s">
        <v>728</v>
      </c>
      <c r="Q645" s="1087">
        <f>1497.437+149.003+30.19</f>
        <v>1676.6299999999999</v>
      </c>
      <c r="R645" s="425"/>
      <c r="S645" s="425"/>
      <c r="T645" s="733">
        <v>41179</v>
      </c>
      <c r="U645" s="444">
        <v>41274</v>
      </c>
      <c r="V645" s="425">
        <v>1689.3881852054794</v>
      </c>
      <c r="W645" s="400">
        <f t="shared" si="34"/>
        <v>0.99244804402137587</v>
      </c>
      <c r="X645" s="543" t="s">
        <v>728</v>
      </c>
      <c r="Y645" s="445" t="s">
        <v>2674</v>
      </c>
      <c r="Z645" s="419" t="s">
        <v>3395</v>
      </c>
      <c r="AA645" s="496">
        <v>41185</v>
      </c>
      <c r="AB645" s="550"/>
      <c r="AC645" s="881">
        <v>41157</v>
      </c>
      <c r="AD645" s="444">
        <v>41136</v>
      </c>
      <c r="AE645" s="444"/>
      <c r="AF645" s="444"/>
      <c r="AG645" s="423"/>
      <c r="AH645" s="423">
        <v>0</v>
      </c>
      <c r="AI645" s="425"/>
      <c r="AJ645" s="736"/>
      <c r="AK645" s="423"/>
      <c r="AL645" s="423"/>
      <c r="AM645" s="423"/>
      <c r="AN645" s="423"/>
      <c r="AO645" s="419"/>
      <c r="AP645" s="463"/>
      <c r="AQ645" s="782"/>
    </row>
    <row r="646" spans="1:43" s="464" customFormat="1" ht="28.5" customHeight="1">
      <c r="A646" s="491" t="s">
        <v>3351</v>
      </c>
      <c r="B646" s="468" t="s">
        <v>3369</v>
      </c>
      <c r="C646" s="445" t="s">
        <v>3335</v>
      </c>
      <c r="D646" s="449" t="s">
        <v>707</v>
      </c>
      <c r="E646" s="445" t="s">
        <v>2048</v>
      </c>
      <c r="F646" s="419">
        <v>1</v>
      </c>
      <c r="G646" s="419"/>
      <c r="H646" s="421" t="s">
        <v>968</v>
      </c>
      <c r="I646" s="455" t="s">
        <v>1735</v>
      </c>
      <c r="J646" s="552" t="s">
        <v>1888</v>
      </c>
      <c r="K646" s="724" t="s">
        <v>1478</v>
      </c>
      <c r="L646" s="423">
        <v>28.8</v>
      </c>
      <c r="M646" s="423">
        <v>0</v>
      </c>
      <c r="N646" s="431">
        <v>40394</v>
      </c>
      <c r="O646" s="423">
        <v>86.400999999999996</v>
      </c>
      <c r="P646" s="868" t="s">
        <v>728</v>
      </c>
      <c r="Q646" s="1087"/>
      <c r="R646" s="425"/>
      <c r="S646" s="425"/>
      <c r="T646" s="733"/>
      <c r="U646" s="444"/>
      <c r="V646" s="425"/>
      <c r="W646" s="427"/>
      <c r="X646" s="543"/>
      <c r="Y646" s="419" t="s">
        <v>2869</v>
      </c>
      <c r="Z646" s="462" t="s">
        <v>3336</v>
      </c>
      <c r="AA646" s="444">
        <v>41170</v>
      </c>
      <c r="AB646" s="733"/>
      <c r="AC646" s="881">
        <v>40618</v>
      </c>
      <c r="AD646" s="444">
        <v>40472</v>
      </c>
      <c r="AE646" s="444"/>
      <c r="AF646" s="444"/>
      <c r="AG646" s="419"/>
      <c r="AH646" s="419">
        <f>2.5+6</f>
        <v>8.5</v>
      </c>
      <c r="AI646" s="425">
        <f>72100/AH646</f>
        <v>8482.3529411764703</v>
      </c>
      <c r="AJ646" s="740"/>
      <c r="AK646" s="419"/>
      <c r="AL646" s="419"/>
      <c r="AM646" s="419"/>
      <c r="AN646" s="419"/>
      <c r="AO646" s="532"/>
      <c r="AP646" s="463"/>
      <c r="AQ646" s="466"/>
    </row>
    <row r="647" spans="1:43" s="464" customFormat="1" ht="15.75" customHeight="1">
      <c r="A647" s="491" t="s">
        <v>3473</v>
      </c>
      <c r="B647" s="468" t="s">
        <v>3396</v>
      </c>
      <c r="C647" s="445" t="s">
        <v>3404</v>
      </c>
      <c r="D647" s="420" t="s">
        <v>707</v>
      </c>
      <c r="E647" s="419" t="s">
        <v>1110</v>
      </c>
      <c r="F647" s="419">
        <v>1</v>
      </c>
      <c r="G647" s="419"/>
      <c r="H647" s="421" t="s">
        <v>968</v>
      </c>
      <c r="I647" s="455" t="s">
        <v>911</v>
      </c>
      <c r="J647" s="513" t="s">
        <v>1577</v>
      </c>
      <c r="K647" s="455" t="s">
        <v>2001</v>
      </c>
      <c r="L647" s="425">
        <f t="shared" ref="L647:L657" si="35">O647/5</f>
        <v>572.58280000000002</v>
      </c>
      <c r="M647" s="423">
        <v>30</v>
      </c>
      <c r="N647" s="431">
        <v>39448</v>
      </c>
      <c r="O647" s="425">
        <v>2862.9140000000002</v>
      </c>
      <c r="P647" s="868" t="s">
        <v>728</v>
      </c>
      <c r="Q647" s="1087">
        <f>501.199+536.997+593.961+627.593+484.267</f>
        <v>2744.0169999999998</v>
      </c>
      <c r="R647" s="425"/>
      <c r="S647" s="425"/>
      <c r="T647" s="733">
        <v>41059</v>
      </c>
      <c r="U647" s="444">
        <v>41182</v>
      </c>
      <c r="V647" s="425">
        <v>2702.3942199136795</v>
      </c>
      <c r="W647" s="400">
        <f>Q647/V647</f>
        <v>1.0154021866164478</v>
      </c>
      <c r="X647" s="549" t="s">
        <v>728</v>
      </c>
      <c r="Y647" s="419" t="s">
        <v>3405</v>
      </c>
      <c r="Z647" s="419" t="s">
        <v>3406</v>
      </c>
      <c r="AA647" s="496">
        <v>41185</v>
      </c>
      <c r="AB647" s="550"/>
      <c r="AC647" s="881">
        <v>40890</v>
      </c>
      <c r="AD647" s="444">
        <v>40848</v>
      </c>
      <c r="AE647" s="444"/>
      <c r="AF647" s="444"/>
      <c r="AG647" s="423"/>
      <c r="AH647" s="423"/>
      <c r="AI647" s="425"/>
      <c r="AJ647" s="736"/>
      <c r="AK647" s="423"/>
      <c r="AL647" s="423"/>
      <c r="AM647" s="423"/>
      <c r="AN647" s="423"/>
      <c r="AO647" s="419"/>
      <c r="AP647" s="463"/>
      <c r="AQ647" s="782"/>
    </row>
    <row r="648" spans="1:43" s="464" customFormat="1" ht="27.75" customHeight="1">
      <c r="A648" s="491" t="s">
        <v>3477</v>
      </c>
      <c r="B648" s="468" t="s">
        <v>3397</v>
      </c>
      <c r="C648" s="445" t="s">
        <v>3423</v>
      </c>
      <c r="D648" s="420" t="s">
        <v>707</v>
      </c>
      <c r="E648" s="419" t="s">
        <v>1043</v>
      </c>
      <c r="F648" s="419">
        <v>1</v>
      </c>
      <c r="G648" s="419"/>
      <c r="H648" s="421" t="s">
        <v>968</v>
      </c>
      <c r="I648" s="448" t="s">
        <v>1548</v>
      </c>
      <c r="J648" s="419" t="s">
        <v>2264</v>
      </c>
      <c r="K648" s="455" t="s">
        <v>2001</v>
      </c>
      <c r="L648" s="425">
        <f t="shared" si="35"/>
        <v>262.04899999999998</v>
      </c>
      <c r="M648" s="423">
        <v>0</v>
      </c>
      <c r="N648" s="431">
        <v>39448</v>
      </c>
      <c r="O648" s="425">
        <v>1310.2449999999999</v>
      </c>
      <c r="P648" s="868" t="s">
        <v>728</v>
      </c>
      <c r="Q648" s="1087">
        <f>1259.435+368.481</f>
        <v>1627.9159999999999</v>
      </c>
      <c r="R648" s="425"/>
      <c r="S648" s="425"/>
      <c r="T648" s="733">
        <v>41190</v>
      </c>
      <c r="U648" s="444">
        <v>41182</v>
      </c>
      <c r="V648" s="425">
        <v>1244.9122356164382</v>
      </c>
      <c r="W648" s="400">
        <f>Q648/V648</f>
        <v>1.3076552333778866</v>
      </c>
      <c r="X648" s="543" t="s">
        <v>728</v>
      </c>
      <c r="Y648" s="445" t="s">
        <v>2674</v>
      </c>
      <c r="Z648" s="419" t="s">
        <v>3424</v>
      </c>
      <c r="AA648" s="496">
        <v>41197</v>
      </c>
      <c r="AB648" s="550"/>
      <c r="AC648" s="881">
        <v>41186</v>
      </c>
      <c r="AD648" s="444">
        <v>41152</v>
      </c>
      <c r="AE648" s="444"/>
      <c r="AF648" s="444"/>
      <c r="AG648" s="423"/>
      <c r="AH648" s="423">
        <v>0</v>
      </c>
      <c r="AI648" s="425"/>
      <c r="AJ648" s="736"/>
      <c r="AK648" s="423"/>
      <c r="AL648" s="423"/>
      <c r="AM648" s="423"/>
      <c r="AN648" s="423"/>
      <c r="AO648" s="419"/>
      <c r="AP648" s="463"/>
      <c r="AQ648" s="782"/>
    </row>
    <row r="649" spans="1:43" s="464" customFormat="1" ht="15.75" customHeight="1">
      <c r="A649" s="491" t="s">
        <v>3478</v>
      </c>
      <c r="B649" s="468" t="s">
        <v>3398</v>
      </c>
      <c r="C649" s="445" t="s">
        <v>3425</v>
      </c>
      <c r="D649" s="420" t="s">
        <v>707</v>
      </c>
      <c r="E649" s="419" t="s">
        <v>1043</v>
      </c>
      <c r="F649" s="419">
        <v>1</v>
      </c>
      <c r="G649" s="419"/>
      <c r="H649" s="421" t="s">
        <v>968</v>
      </c>
      <c r="I649" s="448" t="s">
        <v>1548</v>
      </c>
      <c r="J649" s="419" t="s">
        <v>2264</v>
      </c>
      <c r="K649" s="455" t="s">
        <v>2001</v>
      </c>
      <c r="L649" s="425">
        <f t="shared" si="35"/>
        <v>388</v>
      </c>
      <c r="M649" s="423">
        <v>0</v>
      </c>
      <c r="N649" s="431">
        <v>39448</v>
      </c>
      <c r="O649" s="425">
        <v>1940</v>
      </c>
      <c r="P649" s="868" t="s">
        <v>728</v>
      </c>
      <c r="Q649" s="1087">
        <f>1542.054+264.137</f>
        <v>1806.191</v>
      </c>
      <c r="R649" s="425"/>
      <c r="S649" s="425"/>
      <c r="T649" s="733">
        <v>41185</v>
      </c>
      <c r="U649" s="444">
        <v>41182</v>
      </c>
      <c r="V649" s="425">
        <v>1843.2657534246575</v>
      </c>
      <c r="W649" s="400">
        <f>Q649/V649</f>
        <v>0.97988637647296639</v>
      </c>
      <c r="X649" s="543" t="s">
        <v>728</v>
      </c>
      <c r="Y649" s="445" t="s">
        <v>2674</v>
      </c>
      <c r="Z649" s="428" t="s">
        <v>3383</v>
      </c>
      <c r="AA649" s="496">
        <v>41197</v>
      </c>
      <c r="AB649" s="550"/>
      <c r="AC649" s="881">
        <v>41183</v>
      </c>
      <c r="AD649" s="444">
        <v>41145</v>
      </c>
      <c r="AE649" s="444"/>
      <c r="AF649" s="444"/>
      <c r="AG649" s="423"/>
      <c r="AH649" s="423">
        <v>0</v>
      </c>
      <c r="AI649" s="425"/>
      <c r="AJ649" s="736"/>
      <c r="AK649" s="423"/>
      <c r="AL649" s="423"/>
      <c r="AM649" s="423"/>
      <c r="AN649" s="423"/>
      <c r="AO649" s="419"/>
      <c r="AP649" s="463"/>
      <c r="AQ649" s="782"/>
    </row>
    <row r="650" spans="1:43" s="464" customFormat="1" ht="28.5" customHeight="1">
      <c r="A650" s="491" t="s">
        <v>3479</v>
      </c>
      <c r="B650" s="468" t="s">
        <v>3399</v>
      </c>
      <c r="C650" s="445" t="s">
        <v>3426</v>
      </c>
      <c r="D650" s="420" t="s">
        <v>707</v>
      </c>
      <c r="E650" s="419" t="s">
        <v>1043</v>
      </c>
      <c r="F650" s="419">
        <v>1</v>
      </c>
      <c r="G650" s="419"/>
      <c r="H650" s="421" t="s">
        <v>968</v>
      </c>
      <c r="I650" s="448" t="s">
        <v>1548</v>
      </c>
      <c r="J650" s="419" t="s">
        <v>2264</v>
      </c>
      <c r="K650" s="455" t="s">
        <v>2001</v>
      </c>
      <c r="L650" s="425">
        <f t="shared" si="35"/>
        <v>398.29879999999997</v>
      </c>
      <c r="M650" s="423">
        <v>15</v>
      </c>
      <c r="N650" s="431">
        <v>39448</v>
      </c>
      <c r="O650" s="425">
        <v>1991.4939999999999</v>
      </c>
      <c r="P650" s="868" t="s">
        <v>728</v>
      </c>
      <c r="Q650" s="1087">
        <f>1848.059+391.157</f>
        <v>2239.2159999999999</v>
      </c>
      <c r="R650" s="425"/>
      <c r="S650" s="425"/>
      <c r="T650" s="733">
        <v>41190</v>
      </c>
      <c r="U650" s="444">
        <v>41182</v>
      </c>
      <c r="V650" s="425">
        <v>1883.3089773540999</v>
      </c>
      <c r="W650" s="400">
        <f>Q650/V650</f>
        <v>1.188979624121965</v>
      </c>
      <c r="X650" s="543" t="s">
        <v>728</v>
      </c>
      <c r="Y650" s="445" t="s">
        <v>2674</v>
      </c>
      <c r="Z650" s="419" t="s">
        <v>3383</v>
      </c>
      <c r="AA650" s="496">
        <v>41197</v>
      </c>
      <c r="AB650" s="550"/>
      <c r="AC650" s="881">
        <v>41186</v>
      </c>
      <c r="AD650" s="444">
        <v>41152</v>
      </c>
      <c r="AE650" s="444"/>
      <c r="AF650" s="444"/>
      <c r="AG650" s="423"/>
      <c r="AH650" s="423">
        <v>0</v>
      </c>
      <c r="AI650" s="425"/>
      <c r="AJ650" s="736"/>
      <c r="AK650" s="423"/>
      <c r="AL650" s="423"/>
      <c r="AM650" s="423"/>
      <c r="AN650" s="423"/>
      <c r="AO650" s="419"/>
      <c r="AP650" s="463"/>
      <c r="AQ650" s="782"/>
    </row>
    <row r="651" spans="1:43" s="464" customFormat="1" ht="25.5" customHeight="1">
      <c r="A651" s="491" t="s">
        <v>3480</v>
      </c>
      <c r="B651" s="468" t="s">
        <v>3409</v>
      </c>
      <c r="C651" s="445" t="s">
        <v>3427</v>
      </c>
      <c r="D651" s="420" t="s">
        <v>707</v>
      </c>
      <c r="E651" s="419" t="s">
        <v>1627</v>
      </c>
      <c r="F651" s="419">
        <v>1</v>
      </c>
      <c r="G651" s="419"/>
      <c r="H651" s="421" t="s">
        <v>968</v>
      </c>
      <c r="I651" s="455" t="s">
        <v>1483</v>
      </c>
      <c r="J651" s="419" t="s">
        <v>2717</v>
      </c>
      <c r="K651" s="448" t="s">
        <v>2001</v>
      </c>
      <c r="L651" s="425">
        <f t="shared" si="35"/>
        <v>356.2944</v>
      </c>
      <c r="M651" s="423">
        <v>0</v>
      </c>
      <c r="N651" s="431">
        <v>39448</v>
      </c>
      <c r="O651" s="425">
        <v>1781.472</v>
      </c>
      <c r="P651" s="868" t="s">
        <v>728</v>
      </c>
      <c r="Q651" s="1087"/>
      <c r="R651" s="419"/>
      <c r="S651" s="419"/>
      <c r="T651" s="733"/>
      <c r="U651" s="444"/>
      <c r="V651" s="425"/>
      <c r="W651" s="427"/>
      <c r="X651" s="543"/>
      <c r="Y651" s="445" t="s">
        <v>2112</v>
      </c>
      <c r="Z651" s="445" t="s">
        <v>2646</v>
      </c>
      <c r="AA651" s="496">
        <v>41197</v>
      </c>
      <c r="AB651" s="550"/>
      <c r="AC651" s="881">
        <v>41057</v>
      </c>
      <c r="AD651" s="444">
        <v>40933</v>
      </c>
      <c r="AE651" s="444"/>
      <c r="AF651" s="444"/>
      <c r="AG651" s="423"/>
      <c r="AH651" s="423">
        <v>0</v>
      </c>
      <c r="AI651" s="425"/>
      <c r="AJ651" s="423">
        <f>2000/Exch!B11</f>
        <v>2368.6769944141856</v>
      </c>
      <c r="AK651" s="423">
        <f>AJ651*1000/L651</f>
        <v>6648.0893171887792</v>
      </c>
      <c r="AL651" s="423"/>
      <c r="AM651" s="423"/>
      <c r="AN651" s="423"/>
      <c r="AO651" s="419"/>
      <c r="AP651" s="463"/>
      <c r="AQ651" s="782"/>
    </row>
    <row r="652" spans="1:43" s="464" customFormat="1" ht="15.75" customHeight="1">
      <c r="A652" s="491" t="s">
        <v>3481</v>
      </c>
      <c r="B652" s="468" t="s">
        <v>3410</v>
      </c>
      <c r="C652" s="445" t="s">
        <v>3428</v>
      </c>
      <c r="D652" s="420" t="s">
        <v>707</v>
      </c>
      <c r="E652" s="419" t="s">
        <v>1043</v>
      </c>
      <c r="F652" s="419">
        <v>1</v>
      </c>
      <c r="G652" s="419"/>
      <c r="H652" s="421" t="s">
        <v>968</v>
      </c>
      <c r="I652" s="448" t="s">
        <v>1548</v>
      </c>
      <c r="J652" s="419" t="s">
        <v>2264</v>
      </c>
      <c r="K652" s="455" t="s">
        <v>2001</v>
      </c>
      <c r="L652" s="425">
        <f t="shared" si="35"/>
        <v>128.16079999999999</v>
      </c>
      <c r="M652" s="423">
        <v>0</v>
      </c>
      <c r="N652" s="431">
        <v>39448</v>
      </c>
      <c r="O652" s="425">
        <v>640.80399999999997</v>
      </c>
      <c r="P652" s="868" t="s">
        <v>728</v>
      </c>
      <c r="Q652" s="1087">
        <f>706.514+132.936</f>
        <v>839.45</v>
      </c>
      <c r="R652" s="425"/>
      <c r="S652" s="425"/>
      <c r="T652" s="733">
        <v>41192</v>
      </c>
      <c r="U652" s="444">
        <v>41182</v>
      </c>
      <c r="V652" s="425">
        <v>608.85158136986297</v>
      </c>
      <c r="W652" s="400">
        <f t="shared" ref="W652:W672" si="36">Q652/V652</f>
        <v>1.3787432367528893</v>
      </c>
      <c r="X652" s="543" t="s">
        <v>728</v>
      </c>
      <c r="Y652" s="445" t="s">
        <v>2674</v>
      </c>
      <c r="Z652" s="428" t="s">
        <v>3383</v>
      </c>
      <c r="AA652" s="496">
        <v>41197</v>
      </c>
      <c r="AB652" s="550"/>
      <c r="AC652" s="881">
        <v>41183</v>
      </c>
      <c r="AD652" s="444">
        <v>41152</v>
      </c>
      <c r="AE652" s="444"/>
      <c r="AF652" s="444"/>
      <c r="AG652" s="423"/>
      <c r="AH652" s="423">
        <v>0</v>
      </c>
      <c r="AI652" s="425"/>
      <c r="AJ652" s="736"/>
      <c r="AK652" s="423"/>
      <c r="AL652" s="423"/>
      <c r="AM652" s="423"/>
      <c r="AN652" s="423"/>
      <c r="AO652" s="419"/>
      <c r="AP652" s="463"/>
      <c r="AQ652" s="782"/>
    </row>
    <row r="653" spans="1:43" s="464" customFormat="1" ht="15.75" customHeight="1">
      <c r="A653" s="491" t="s">
        <v>3482</v>
      </c>
      <c r="B653" s="468" t="s">
        <v>3411</v>
      </c>
      <c r="C653" s="445" t="s">
        <v>3429</v>
      </c>
      <c r="D653" s="420" t="s">
        <v>707</v>
      </c>
      <c r="E653" s="419" t="s">
        <v>1043</v>
      </c>
      <c r="F653" s="419">
        <v>1</v>
      </c>
      <c r="G653" s="419"/>
      <c r="H653" s="421" t="s">
        <v>968</v>
      </c>
      <c r="I653" s="448" t="s">
        <v>1548</v>
      </c>
      <c r="J653" s="419" t="s">
        <v>2264</v>
      </c>
      <c r="K653" s="455" t="s">
        <v>2001</v>
      </c>
      <c r="L653" s="425">
        <f t="shared" si="35"/>
        <v>530.2242</v>
      </c>
      <c r="M653" s="423">
        <v>0</v>
      </c>
      <c r="N653" s="431">
        <v>39448</v>
      </c>
      <c r="O653" s="425">
        <v>2651.1210000000001</v>
      </c>
      <c r="P653" s="868" t="s">
        <v>728</v>
      </c>
      <c r="Q653" s="1087">
        <f>2121.058+397.548</f>
        <v>2518.6059999999998</v>
      </c>
      <c r="R653" s="425"/>
      <c r="S653" s="425"/>
      <c r="T653" s="733">
        <v>41185</v>
      </c>
      <c r="U653" s="444">
        <v>41182</v>
      </c>
      <c r="V653" s="425">
        <v>2518.9281172602737</v>
      </c>
      <c r="W653" s="400">
        <f t="shared" si="36"/>
        <v>0.99987212129712366</v>
      </c>
      <c r="X653" s="543" t="s">
        <v>728</v>
      </c>
      <c r="Y653" s="445" t="s">
        <v>2674</v>
      </c>
      <c r="Z653" s="428" t="s">
        <v>3383</v>
      </c>
      <c r="AA653" s="496">
        <v>41197</v>
      </c>
      <c r="AB653" s="550"/>
      <c r="AC653" s="881">
        <v>41183</v>
      </c>
      <c r="AD653" s="444">
        <v>41145</v>
      </c>
      <c r="AE653" s="444"/>
      <c r="AF653" s="444"/>
      <c r="AG653" s="423"/>
      <c r="AH653" s="423">
        <v>0</v>
      </c>
      <c r="AI653" s="425"/>
      <c r="AJ653" s="736"/>
      <c r="AK653" s="423"/>
      <c r="AL653" s="423"/>
      <c r="AM653" s="423"/>
      <c r="AN653" s="423"/>
      <c r="AO653" s="419"/>
      <c r="AP653" s="463"/>
      <c r="AQ653" s="782"/>
    </row>
    <row r="654" spans="1:43" s="464" customFormat="1" ht="28.5" customHeight="1">
      <c r="A654" s="491" t="s">
        <v>2694</v>
      </c>
      <c r="B654" s="468" t="s">
        <v>3412</v>
      </c>
      <c r="C654" s="445" t="s">
        <v>3430</v>
      </c>
      <c r="D654" s="420" t="s">
        <v>707</v>
      </c>
      <c r="E654" s="419" t="s">
        <v>229</v>
      </c>
      <c r="F654" s="419">
        <v>1</v>
      </c>
      <c r="G654" s="445" t="s">
        <v>3502</v>
      </c>
      <c r="H654" s="421" t="s">
        <v>968</v>
      </c>
      <c r="I654" s="471" t="s">
        <v>845</v>
      </c>
      <c r="J654" s="419" t="s">
        <v>346</v>
      </c>
      <c r="K654" s="455" t="s">
        <v>2001</v>
      </c>
      <c r="L654" s="425">
        <f t="shared" si="35"/>
        <v>67.19980000000001</v>
      </c>
      <c r="M654" s="423">
        <v>50</v>
      </c>
      <c r="N654" s="431">
        <v>39448</v>
      </c>
      <c r="O654" s="425">
        <v>335.99900000000002</v>
      </c>
      <c r="P654" s="868" t="s">
        <v>896</v>
      </c>
      <c r="Q654" s="1087">
        <f>284.494</f>
        <v>284.49400000000003</v>
      </c>
      <c r="R654" s="425"/>
      <c r="S654" s="425"/>
      <c r="T654" s="733">
        <v>41233</v>
      </c>
      <c r="U654" s="444">
        <v>41182</v>
      </c>
      <c r="V654" s="425">
        <v>289.63464378307373</v>
      </c>
      <c r="W654" s="400">
        <f t="shared" si="36"/>
        <v>0.98225128142155582</v>
      </c>
      <c r="X654" s="543" t="s">
        <v>728</v>
      </c>
      <c r="Y654" s="419" t="s">
        <v>2698</v>
      </c>
      <c r="Z654" s="462" t="s">
        <v>3431</v>
      </c>
      <c r="AA654" s="444">
        <v>40836</v>
      </c>
      <c r="AB654" s="550">
        <v>41197</v>
      </c>
      <c r="AC654" s="881">
        <v>41166</v>
      </c>
      <c r="AD654" s="444">
        <v>40889</v>
      </c>
      <c r="AE654" s="444"/>
      <c r="AF654" s="444"/>
      <c r="AG654" s="423"/>
      <c r="AH654" s="423">
        <v>0</v>
      </c>
      <c r="AI654" s="425"/>
      <c r="AJ654" s="736"/>
      <c r="AK654" s="423"/>
      <c r="AL654" s="423"/>
      <c r="AM654" s="423"/>
      <c r="AN654" s="423"/>
      <c r="AO654" s="419"/>
      <c r="AP654" s="463"/>
      <c r="AQ654" s="782"/>
    </row>
    <row r="655" spans="1:43" s="464" customFormat="1" ht="15.75" customHeight="1">
      <c r="A655" s="491" t="s">
        <v>3483</v>
      </c>
      <c r="B655" s="468" t="s">
        <v>3413</v>
      </c>
      <c r="C655" s="445" t="s">
        <v>3432</v>
      </c>
      <c r="D655" s="420" t="s">
        <v>707</v>
      </c>
      <c r="E655" s="419" t="s">
        <v>130</v>
      </c>
      <c r="F655" s="419">
        <v>1</v>
      </c>
      <c r="G655" s="419"/>
      <c r="H655" s="421" t="s">
        <v>968</v>
      </c>
      <c r="I655" s="455" t="s">
        <v>1467</v>
      </c>
      <c r="J655" s="445" t="s">
        <v>2584</v>
      </c>
      <c r="K655" s="455" t="s">
        <v>2001</v>
      </c>
      <c r="L655" s="425">
        <f t="shared" si="35"/>
        <v>202.1514</v>
      </c>
      <c r="M655" s="423">
        <v>10</v>
      </c>
      <c r="N655" s="431">
        <v>39448</v>
      </c>
      <c r="O655" s="425">
        <v>1010.7569999999999</v>
      </c>
      <c r="P655" s="868" t="s">
        <v>728</v>
      </c>
      <c r="Q655" s="1087">
        <v>954.02099999999996</v>
      </c>
      <c r="R655" s="425"/>
      <c r="S655" s="425"/>
      <c r="T655" s="733">
        <v>40179</v>
      </c>
      <c r="U655" s="444">
        <v>41090</v>
      </c>
      <c r="V655" s="425">
        <v>898.12699239632218</v>
      </c>
      <c r="W655" s="400">
        <f t="shared" si="36"/>
        <v>1.0622339692236007</v>
      </c>
      <c r="X655" s="543" t="s">
        <v>728</v>
      </c>
      <c r="Y655" s="445" t="s">
        <v>3121</v>
      </c>
      <c r="Z655" s="428" t="s">
        <v>3433</v>
      </c>
      <c r="AA655" s="496">
        <v>41197</v>
      </c>
      <c r="AB655" s="550"/>
      <c r="AC655" s="881">
        <v>41178</v>
      </c>
      <c r="AD655" s="444">
        <v>41127</v>
      </c>
      <c r="AE655" s="444"/>
      <c r="AF655" s="444"/>
      <c r="AG655" s="423"/>
      <c r="AH655" s="423">
        <v>0</v>
      </c>
      <c r="AI655" s="425"/>
      <c r="AJ655" s="736"/>
      <c r="AK655" s="423"/>
      <c r="AL655" s="423"/>
      <c r="AM655" s="423">
        <v>278</v>
      </c>
      <c r="AN655" s="423"/>
      <c r="AO655" s="419"/>
      <c r="AP655" s="463"/>
      <c r="AQ655" s="782"/>
    </row>
    <row r="656" spans="1:43" s="464" customFormat="1" ht="33.75" customHeight="1">
      <c r="A656" s="491" t="s">
        <v>3484</v>
      </c>
      <c r="B656" s="468" t="s">
        <v>3414</v>
      </c>
      <c r="C656" s="445" t="s">
        <v>3434</v>
      </c>
      <c r="D656" s="420" t="s">
        <v>707</v>
      </c>
      <c r="E656" s="419" t="s">
        <v>1998</v>
      </c>
      <c r="F656" s="419">
        <v>1</v>
      </c>
      <c r="G656" s="419"/>
      <c r="H656" s="421" t="s">
        <v>968</v>
      </c>
      <c r="I656" s="455" t="s">
        <v>1467</v>
      </c>
      <c r="J656" s="445" t="s">
        <v>2584</v>
      </c>
      <c r="K656" s="455" t="s">
        <v>2001</v>
      </c>
      <c r="L656" s="425">
        <f t="shared" si="35"/>
        <v>619.02839999999992</v>
      </c>
      <c r="M656" s="423">
        <v>0</v>
      </c>
      <c r="N656" s="431">
        <v>39448</v>
      </c>
      <c r="O656" s="425">
        <v>3095.1419999999998</v>
      </c>
      <c r="P656" s="868" t="s">
        <v>728</v>
      </c>
      <c r="Q656" s="1087">
        <f>2697.721</f>
        <v>2697.721</v>
      </c>
      <c r="R656" s="425"/>
      <c r="S656" s="425"/>
      <c r="T656" s="733">
        <v>41183</v>
      </c>
      <c r="U656" s="444">
        <v>41090</v>
      </c>
      <c r="V656" s="425">
        <v>2784.7798158904106</v>
      </c>
      <c r="W656" s="400">
        <f t="shared" si="36"/>
        <v>0.96873763038871552</v>
      </c>
      <c r="X656" s="543" t="s">
        <v>728</v>
      </c>
      <c r="Y656" s="445" t="s">
        <v>3121</v>
      </c>
      <c r="Z656" s="428" t="s">
        <v>3433</v>
      </c>
      <c r="AA656" s="496">
        <v>41197</v>
      </c>
      <c r="AB656" s="550"/>
      <c r="AC656" s="881">
        <v>41178</v>
      </c>
      <c r="AD656" s="444">
        <v>41127</v>
      </c>
      <c r="AE656" s="444"/>
      <c r="AF656" s="444"/>
      <c r="AG656" s="423"/>
      <c r="AH656" s="423">
        <v>0</v>
      </c>
      <c r="AI656" s="425"/>
      <c r="AJ656" s="736"/>
      <c r="AK656" s="423"/>
      <c r="AL656" s="423"/>
      <c r="AM656" s="423">
        <v>985.45600000000002</v>
      </c>
      <c r="AN656" s="423"/>
      <c r="AO656" s="419"/>
      <c r="AP656" s="463"/>
      <c r="AQ656" s="782"/>
    </row>
    <row r="657" spans="1:43" s="464" customFormat="1" ht="28.5" customHeight="1">
      <c r="A657" s="491" t="s">
        <v>3485</v>
      </c>
      <c r="B657" s="468" t="s">
        <v>3415</v>
      </c>
      <c r="C657" s="445" t="s">
        <v>3435</v>
      </c>
      <c r="D657" s="420" t="s">
        <v>707</v>
      </c>
      <c r="E657" s="419" t="s">
        <v>229</v>
      </c>
      <c r="F657" s="419">
        <v>1</v>
      </c>
      <c r="G657" s="419"/>
      <c r="H657" s="421" t="s">
        <v>968</v>
      </c>
      <c r="I657" s="471" t="s">
        <v>845</v>
      </c>
      <c r="J657" s="419" t="s">
        <v>346</v>
      </c>
      <c r="K657" s="455" t="s">
        <v>3437</v>
      </c>
      <c r="L657" s="425">
        <f t="shared" si="35"/>
        <v>121.00060000000001</v>
      </c>
      <c r="M657" s="423">
        <v>0</v>
      </c>
      <c r="N657" s="431">
        <v>40483</v>
      </c>
      <c r="O657" s="425">
        <v>605.00300000000004</v>
      </c>
      <c r="P657" s="868" t="s">
        <v>728</v>
      </c>
      <c r="Q657" s="1087">
        <f>135.411+49.439</f>
        <v>184.85</v>
      </c>
      <c r="R657" s="425"/>
      <c r="S657" s="425"/>
      <c r="T657" s="733">
        <v>41207</v>
      </c>
      <c r="U657" s="444">
        <v>41182</v>
      </c>
      <c r="V657" s="425">
        <v>231.72443671232878</v>
      </c>
      <c r="W657" s="400">
        <f t="shared" si="36"/>
        <v>0.79771474524924435</v>
      </c>
      <c r="X657" s="543" t="s">
        <v>728</v>
      </c>
      <c r="Y657" s="419" t="s">
        <v>3436</v>
      </c>
      <c r="Z657" s="428" t="s">
        <v>3438</v>
      </c>
      <c r="AA657" s="496">
        <v>41197</v>
      </c>
      <c r="AB657" s="550"/>
      <c r="AC657" s="881">
        <v>40877</v>
      </c>
      <c r="AD657" s="444">
        <v>40659</v>
      </c>
      <c r="AE657" s="444"/>
      <c r="AF657" s="444"/>
      <c r="AG657" s="423"/>
      <c r="AH657" s="423">
        <v>3.2</v>
      </c>
      <c r="AI657" s="425">
        <f>24928/AH657</f>
        <v>7790</v>
      </c>
      <c r="AJ657" s="736"/>
      <c r="AK657" s="423"/>
      <c r="AL657" s="423"/>
      <c r="AM657" s="423"/>
      <c r="AN657" s="423"/>
      <c r="AO657" s="419"/>
      <c r="AP657" s="463"/>
      <c r="AQ657" s="782"/>
    </row>
    <row r="658" spans="1:43" s="464" customFormat="1" ht="29.25" customHeight="1">
      <c r="A658" s="491" t="s">
        <v>3488</v>
      </c>
      <c r="B658" s="468" t="s">
        <v>3416</v>
      </c>
      <c r="C658" s="445" t="s">
        <v>3439</v>
      </c>
      <c r="D658" s="420" t="s">
        <v>707</v>
      </c>
      <c r="E658" s="419" t="s">
        <v>229</v>
      </c>
      <c r="F658" s="419">
        <v>1</v>
      </c>
      <c r="G658" s="419"/>
      <c r="H658" s="421" t="s">
        <v>968</v>
      </c>
      <c r="I658" s="448" t="s">
        <v>1548</v>
      </c>
      <c r="J658" s="419" t="s">
        <v>2264</v>
      </c>
      <c r="K658" s="455" t="s">
        <v>2001</v>
      </c>
      <c r="L658" s="425">
        <v>425.42</v>
      </c>
      <c r="M658" s="423">
        <v>0</v>
      </c>
      <c r="N658" s="431">
        <v>39815</v>
      </c>
      <c r="O658" s="425">
        <v>1701.681</v>
      </c>
      <c r="P658" s="868" t="s">
        <v>728</v>
      </c>
      <c r="Q658" s="1087">
        <v>1713.559</v>
      </c>
      <c r="R658" s="425"/>
      <c r="S658" s="425"/>
      <c r="T658" s="733">
        <v>41207</v>
      </c>
      <c r="U658" s="444">
        <v>41182</v>
      </c>
      <c r="V658" s="425">
        <v>1593.2853150684932</v>
      </c>
      <c r="W658" s="400">
        <f t="shared" si="36"/>
        <v>1.0754878512931856</v>
      </c>
      <c r="X658" s="543" t="s">
        <v>728</v>
      </c>
      <c r="Y658" s="419" t="s">
        <v>2896</v>
      </c>
      <c r="Z658" s="462" t="s">
        <v>2897</v>
      </c>
      <c r="AA658" s="496">
        <v>41200</v>
      </c>
      <c r="AB658" s="550"/>
      <c r="AC658" s="881">
        <v>41193</v>
      </c>
      <c r="AD658" s="444">
        <v>41178</v>
      </c>
      <c r="AE658" s="444"/>
      <c r="AF658" s="444"/>
      <c r="AG658" s="423"/>
      <c r="AH658" s="423">
        <v>0</v>
      </c>
      <c r="AI658" s="425"/>
      <c r="AJ658" s="736"/>
      <c r="AK658" s="423"/>
      <c r="AL658" s="423"/>
      <c r="AM658" s="423"/>
      <c r="AN658" s="423"/>
      <c r="AO658" s="419"/>
      <c r="AP658" s="463"/>
      <c r="AQ658" s="782"/>
    </row>
    <row r="659" spans="1:43" s="464" customFormat="1" ht="30.75" customHeight="1">
      <c r="A659" s="491" t="s">
        <v>3489</v>
      </c>
      <c r="B659" s="468" t="s">
        <v>3417</v>
      </c>
      <c r="C659" s="445" t="s">
        <v>3440</v>
      </c>
      <c r="D659" s="420" t="s">
        <v>707</v>
      </c>
      <c r="E659" s="419" t="s">
        <v>229</v>
      </c>
      <c r="F659" s="419">
        <v>1</v>
      </c>
      <c r="G659" s="419"/>
      <c r="H659" s="421" t="s">
        <v>968</v>
      </c>
      <c r="I659" s="448" t="s">
        <v>1548</v>
      </c>
      <c r="J659" s="419" t="s">
        <v>2264</v>
      </c>
      <c r="K659" s="455" t="s">
        <v>2001</v>
      </c>
      <c r="L659" s="425">
        <f>O659/5</f>
        <v>415.92560000000003</v>
      </c>
      <c r="M659" s="423">
        <v>0</v>
      </c>
      <c r="N659" s="431">
        <v>39692</v>
      </c>
      <c r="O659" s="425">
        <v>2079.6280000000002</v>
      </c>
      <c r="P659" s="868" t="s">
        <v>728</v>
      </c>
      <c r="Q659" s="1087">
        <v>2030.4739999999999</v>
      </c>
      <c r="R659" s="425"/>
      <c r="S659" s="425"/>
      <c r="T659" s="733">
        <v>41207</v>
      </c>
      <c r="U659" s="444">
        <v>41152</v>
      </c>
      <c r="V659" s="425">
        <v>1663.7024000000001</v>
      </c>
      <c r="W659" s="400">
        <f t="shared" si="36"/>
        <v>1.2204550525382423</v>
      </c>
      <c r="X659" s="543" t="s">
        <v>728</v>
      </c>
      <c r="Y659" s="419" t="s">
        <v>2896</v>
      </c>
      <c r="Z659" s="445" t="s">
        <v>2897</v>
      </c>
      <c r="AA659" s="496">
        <v>41200</v>
      </c>
      <c r="AB659" s="550"/>
      <c r="AC659" s="881">
        <v>41193</v>
      </c>
      <c r="AD659" s="444">
        <v>41177</v>
      </c>
      <c r="AE659" s="444"/>
      <c r="AF659" s="444"/>
      <c r="AG659" s="423"/>
      <c r="AH659" s="423">
        <v>0</v>
      </c>
      <c r="AI659" s="425"/>
      <c r="AJ659" s="736"/>
      <c r="AK659" s="423"/>
      <c r="AL659" s="423"/>
      <c r="AM659" s="423"/>
      <c r="AN659" s="423"/>
      <c r="AO659" s="419"/>
      <c r="AP659" s="463"/>
      <c r="AQ659" s="782"/>
    </row>
    <row r="660" spans="1:43" s="464" customFormat="1" ht="42" customHeight="1">
      <c r="A660" s="491" t="s">
        <v>3490</v>
      </c>
      <c r="B660" s="468" t="s">
        <v>3418</v>
      </c>
      <c r="C660" s="445" t="s">
        <v>3441</v>
      </c>
      <c r="D660" s="420" t="s">
        <v>707</v>
      </c>
      <c r="E660" s="419" t="s">
        <v>229</v>
      </c>
      <c r="F660" s="419">
        <v>1</v>
      </c>
      <c r="G660" s="419"/>
      <c r="H660" s="421" t="s">
        <v>968</v>
      </c>
      <c r="I660" s="448" t="s">
        <v>1548</v>
      </c>
      <c r="J660" s="419" t="s">
        <v>2264</v>
      </c>
      <c r="K660" s="455" t="s">
        <v>2001</v>
      </c>
      <c r="L660" s="425">
        <v>798.71500000000003</v>
      </c>
      <c r="M660" s="423">
        <v>0</v>
      </c>
      <c r="N660" s="431">
        <v>39451</v>
      </c>
      <c r="O660" s="425">
        <v>3993.576</v>
      </c>
      <c r="P660" s="868" t="s">
        <v>728</v>
      </c>
      <c r="Q660" s="1087">
        <f>3900.407</f>
        <v>3900.4070000000002</v>
      </c>
      <c r="R660" s="425"/>
      <c r="S660" s="425"/>
      <c r="T660" s="733">
        <v>41207</v>
      </c>
      <c r="U660" s="444">
        <v>41152</v>
      </c>
      <c r="V660" s="425">
        <v>3722.2307260273974</v>
      </c>
      <c r="W660" s="400">
        <f t="shared" si="36"/>
        <v>1.0478681433492878</v>
      </c>
      <c r="X660" s="543" t="s">
        <v>728</v>
      </c>
      <c r="Y660" s="419" t="s">
        <v>2896</v>
      </c>
      <c r="Z660" s="445" t="s">
        <v>2897</v>
      </c>
      <c r="AA660" s="496">
        <v>41200</v>
      </c>
      <c r="AB660" s="550"/>
      <c r="AC660" s="881">
        <v>41193</v>
      </c>
      <c r="AD660" s="444">
        <v>41177</v>
      </c>
      <c r="AE660" s="444"/>
      <c r="AF660" s="444"/>
      <c r="AG660" s="423"/>
      <c r="AH660" s="423">
        <v>0</v>
      </c>
      <c r="AI660" s="425"/>
      <c r="AJ660" s="736"/>
      <c r="AK660" s="423"/>
      <c r="AL660" s="423"/>
      <c r="AM660" s="423"/>
      <c r="AN660" s="423"/>
      <c r="AO660" s="419"/>
      <c r="AP660" s="463"/>
      <c r="AQ660" s="782"/>
    </row>
    <row r="661" spans="1:43" s="464" customFormat="1" ht="42" customHeight="1">
      <c r="A661" s="491" t="s">
        <v>3491</v>
      </c>
      <c r="B661" s="468" t="s">
        <v>3419</v>
      </c>
      <c r="C661" s="445" t="s">
        <v>3442</v>
      </c>
      <c r="D661" s="420" t="s">
        <v>707</v>
      </c>
      <c r="E661" s="419" t="s">
        <v>229</v>
      </c>
      <c r="F661" s="419">
        <v>1</v>
      </c>
      <c r="G661" s="419"/>
      <c r="H661" s="421" t="s">
        <v>968</v>
      </c>
      <c r="I661" s="448" t="s">
        <v>1548</v>
      </c>
      <c r="J661" s="419" t="s">
        <v>2264</v>
      </c>
      <c r="K661" s="455" t="s">
        <v>2001</v>
      </c>
      <c r="L661" s="425">
        <v>558.34</v>
      </c>
      <c r="M661" s="423">
        <v>0</v>
      </c>
      <c r="N661" s="431">
        <v>39573</v>
      </c>
      <c r="O661" s="425">
        <v>2605.5859999999998</v>
      </c>
      <c r="P661" s="868" t="s">
        <v>728</v>
      </c>
      <c r="Q661" s="1087">
        <v>2482.71</v>
      </c>
      <c r="R661" s="425"/>
      <c r="S661" s="425"/>
      <c r="T661" s="733">
        <v>41207</v>
      </c>
      <c r="U661" s="444">
        <v>41152</v>
      </c>
      <c r="V661" s="425">
        <v>2415.3941369863019</v>
      </c>
      <c r="W661" s="400">
        <f t="shared" si="36"/>
        <v>1.0278695149511659</v>
      </c>
      <c r="X661" s="543" t="s">
        <v>728</v>
      </c>
      <c r="Y661" s="419" t="s">
        <v>2896</v>
      </c>
      <c r="Z661" s="445" t="s">
        <v>2897</v>
      </c>
      <c r="AA661" s="496">
        <v>41200</v>
      </c>
      <c r="AB661" s="550"/>
      <c r="AC661" s="881">
        <v>41187</v>
      </c>
      <c r="AD661" s="444">
        <v>41178</v>
      </c>
      <c r="AE661" s="444"/>
      <c r="AF661" s="444"/>
      <c r="AG661" s="423"/>
      <c r="AH661" s="423">
        <v>0</v>
      </c>
      <c r="AI661" s="425"/>
      <c r="AJ661" s="736"/>
      <c r="AK661" s="423"/>
      <c r="AL661" s="423"/>
      <c r="AM661" s="423"/>
      <c r="AN661" s="423"/>
      <c r="AO661" s="419"/>
      <c r="AP661" s="463"/>
      <c r="AQ661" s="782"/>
    </row>
    <row r="662" spans="1:43" s="464" customFormat="1" ht="28.5" customHeight="1">
      <c r="A662" s="491" t="s">
        <v>3492</v>
      </c>
      <c r="B662" s="468" t="s">
        <v>3420</v>
      </c>
      <c r="C662" s="445" t="s">
        <v>3443</v>
      </c>
      <c r="D662" s="420" t="s">
        <v>707</v>
      </c>
      <c r="E662" s="419" t="s">
        <v>229</v>
      </c>
      <c r="F662" s="419">
        <v>1</v>
      </c>
      <c r="G662" s="419"/>
      <c r="H662" s="421" t="s">
        <v>968</v>
      </c>
      <c r="I662" s="448" t="s">
        <v>1548</v>
      </c>
      <c r="J662" s="420" t="s">
        <v>2264</v>
      </c>
      <c r="K662" s="455" t="s">
        <v>2001</v>
      </c>
      <c r="L662" s="425">
        <v>587.71500000000003</v>
      </c>
      <c r="M662" s="423">
        <v>0</v>
      </c>
      <c r="N662" s="431">
        <v>39815</v>
      </c>
      <c r="O662" s="425">
        <v>2350.86</v>
      </c>
      <c r="P662" s="868" t="s">
        <v>728</v>
      </c>
      <c r="Q662" s="1087">
        <f>2148.39</f>
        <v>2148.39</v>
      </c>
      <c r="R662" s="425"/>
      <c r="S662" s="425"/>
      <c r="T662" s="733">
        <v>41207</v>
      </c>
      <c r="U662" s="444">
        <v>41152</v>
      </c>
      <c r="V662" s="425">
        <v>2152.8080958904111</v>
      </c>
      <c r="W662" s="400">
        <f t="shared" si="36"/>
        <v>0.99794775210161779</v>
      </c>
      <c r="X662" s="543" t="s">
        <v>728</v>
      </c>
      <c r="Y662" s="419" t="s">
        <v>2896</v>
      </c>
      <c r="Z662" s="445" t="s">
        <v>2897</v>
      </c>
      <c r="AA662" s="496">
        <v>41200</v>
      </c>
      <c r="AB662" s="550"/>
      <c r="AC662" s="881">
        <v>41193</v>
      </c>
      <c r="AD662" s="444">
        <v>41178</v>
      </c>
      <c r="AE662" s="444"/>
      <c r="AF662" s="444"/>
      <c r="AG662" s="423"/>
      <c r="AH662" s="423">
        <v>0</v>
      </c>
      <c r="AI662" s="425"/>
      <c r="AJ662" s="736"/>
      <c r="AK662" s="423"/>
      <c r="AL662" s="423"/>
      <c r="AM662" s="423"/>
      <c r="AN662" s="423"/>
      <c r="AO662" s="419"/>
      <c r="AP662" s="463"/>
      <c r="AQ662" s="782"/>
    </row>
    <row r="663" spans="1:43" s="464" customFormat="1" ht="29.25" customHeight="1">
      <c r="A663" s="491" t="s">
        <v>3493</v>
      </c>
      <c r="B663" s="468" t="s">
        <v>3421</v>
      </c>
      <c r="C663" s="445" t="s">
        <v>3444</v>
      </c>
      <c r="D663" s="420" t="s">
        <v>707</v>
      </c>
      <c r="E663" s="419" t="s">
        <v>229</v>
      </c>
      <c r="F663" s="419">
        <v>1</v>
      </c>
      <c r="G663" s="419"/>
      <c r="H663" s="421" t="s">
        <v>968</v>
      </c>
      <c r="I663" s="448" t="s">
        <v>1548</v>
      </c>
      <c r="J663" s="419" t="s">
        <v>2264</v>
      </c>
      <c r="K663" s="450" t="s">
        <v>2001</v>
      </c>
      <c r="L663" s="425">
        <v>405.83300000000003</v>
      </c>
      <c r="M663" s="423">
        <v>0</v>
      </c>
      <c r="N663" s="431">
        <v>39539</v>
      </c>
      <c r="O663" s="425">
        <v>1927.9059999999999</v>
      </c>
      <c r="P663" s="868" t="s">
        <v>728</v>
      </c>
      <c r="Q663" s="1087">
        <f>1812.632</f>
        <v>1812.6320000000001</v>
      </c>
      <c r="R663" s="425"/>
      <c r="S663" s="425"/>
      <c r="T663" s="733">
        <v>41207</v>
      </c>
      <c r="U663" s="444">
        <v>41152</v>
      </c>
      <c r="V663" s="425">
        <v>1793.4482986301371</v>
      </c>
      <c r="W663" s="400">
        <f t="shared" si="36"/>
        <v>1.0106965455232335</v>
      </c>
      <c r="X663" s="543" t="s">
        <v>728</v>
      </c>
      <c r="Y663" s="419" t="s">
        <v>2896</v>
      </c>
      <c r="Z663" s="462" t="s">
        <v>2897</v>
      </c>
      <c r="AA663" s="496">
        <v>41200</v>
      </c>
      <c r="AB663" s="550"/>
      <c r="AC663" s="881">
        <v>41187</v>
      </c>
      <c r="AD663" s="444">
        <v>41178</v>
      </c>
      <c r="AE663" s="444"/>
      <c r="AF663" s="444"/>
      <c r="AG663" s="423"/>
      <c r="AH663" s="423">
        <v>0</v>
      </c>
      <c r="AI663" s="425"/>
      <c r="AJ663" s="736"/>
      <c r="AK663" s="423"/>
      <c r="AL663" s="423"/>
      <c r="AM663" s="423"/>
      <c r="AN663" s="423"/>
      <c r="AO663" s="419"/>
      <c r="AP663" s="463"/>
      <c r="AQ663" s="782"/>
    </row>
    <row r="664" spans="1:43" s="464" customFormat="1" ht="27" customHeight="1">
      <c r="A664" s="491" t="s">
        <v>3486</v>
      </c>
      <c r="B664" s="468" t="s">
        <v>3422</v>
      </c>
      <c r="C664" s="445" t="s">
        <v>3445</v>
      </c>
      <c r="D664" s="420" t="s">
        <v>707</v>
      </c>
      <c r="E664" s="419" t="s">
        <v>229</v>
      </c>
      <c r="F664" s="419">
        <v>1</v>
      </c>
      <c r="G664" s="419"/>
      <c r="H664" s="421" t="s">
        <v>968</v>
      </c>
      <c r="I664" s="448" t="s">
        <v>1548</v>
      </c>
      <c r="J664" s="419" t="s">
        <v>2264</v>
      </c>
      <c r="K664" s="455" t="s">
        <v>2001</v>
      </c>
      <c r="L664" s="425">
        <v>1832.4449999999999</v>
      </c>
      <c r="M664" s="423">
        <v>0</v>
      </c>
      <c r="N664" s="431">
        <v>39573</v>
      </c>
      <c r="O664" s="425">
        <v>2443.261</v>
      </c>
      <c r="P664" s="868" t="s">
        <v>728</v>
      </c>
      <c r="Q664" s="1087">
        <v>2036.9390000000001</v>
      </c>
      <c r="R664" s="425"/>
      <c r="S664" s="425"/>
      <c r="T664" s="733">
        <v>41207</v>
      </c>
      <c r="U664" s="444">
        <v>41152</v>
      </c>
      <c r="V664" s="425">
        <v>7927.2072739726027</v>
      </c>
      <c r="W664" s="400">
        <f t="shared" si="36"/>
        <v>0.2569554358302048</v>
      </c>
      <c r="X664" s="543" t="s">
        <v>728</v>
      </c>
      <c r="Y664" s="419" t="s">
        <v>2896</v>
      </c>
      <c r="Z664" s="445" t="s">
        <v>2897</v>
      </c>
      <c r="AA664" s="496">
        <v>41197</v>
      </c>
      <c r="AB664" s="550"/>
      <c r="AC664" s="881">
        <v>41187</v>
      </c>
      <c r="AD664" s="444">
        <v>41177</v>
      </c>
      <c r="AE664" s="444"/>
      <c r="AF664" s="444"/>
      <c r="AG664" s="423"/>
      <c r="AH664" s="423">
        <v>0</v>
      </c>
      <c r="AI664" s="425"/>
      <c r="AJ664" s="736"/>
      <c r="AK664" s="423"/>
      <c r="AL664" s="423"/>
      <c r="AM664" s="423"/>
      <c r="AN664" s="423"/>
      <c r="AO664" s="419"/>
      <c r="AP664" s="463"/>
      <c r="AQ664" s="782"/>
    </row>
    <row r="665" spans="1:43" s="464" customFormat="1" ht="27.75" customHeight="1">
      <c r="A665" s="491" t="s">
        <v>3495</v>
      </c>
      <c r="B665" s="468" t="s">
        <v>3505</v>
      </c>
      <c r="C665" s="445" t="s">
        <v>3455</v>
      </c>
      <c r="D665" s="420" t="s">
        <v>707</v>
      </c>
      <c r="E665" s="419" t="s">
        <v>1619</v>
      </c>
      <c r="F665" s="419">
        <v>1</v>
      </c>
      <c r="G665" s="419"/>
      <c r="H665" s="421" t="s">
        <v>968</v>
      </c>
      <c r="I665" s="471" t="s">
        <v>1467</v>
      </c>
      <c r="J665" s="419" t="s">
        <v>2128</v>
      </c>
      <c r="K665" s="455" t="s">
        <v>1767</v>
      </c>
      <c r="L665" s="425">
        <f>O665/5</f>
        <v>76.57480000000001</v>
      </c>
      <c r="M665" s="423">
        <v>0</v>
      </c>
      <c r="N665" s="431">
        <v>39448</v>
      </c>
      <c r="O665" s="425">
        <v>382.87400000000002</v>
      </c>
      <c r="P665" s="868" t="s">
        <v>728</v>
      </c>
      <c r="Q665" s="1087">
        <f>300.077</f>
        <v>300.077</v>
      </c>
      <c r="R665" s="425"/>
      <c r="S665" s="425"/>
      <c r="T665" s="733">
        <v>41190</v>
      </c>
      <c r="U665" s="444">
        <v>40908</v>
      </c>
      <c r="V665" s="425">
        <v>306.29920000000004</v>
      </c>
      <c r="W665" s="400">
        <f t="shared" si="36"/>
        <v>0.9796858757711413</v>
      </c>
      <c r="X665" s="543" t="s">
        <v>728</v>
      </c>
      <c r="Y665" s="445" t="s">
        <v>2112</v>
      </c>
      <c r="Z665" s="419" t="s">
        <v>2646</v>
      </c>
      <c r="AA665" s="496">
        <v>41200</v>
      </c>
      <c r="AB665" s="550"/>
      <c r="AC665" s="881">
        <v>41184</v>
      </c>
      <c r="AD665" s="444">
        <v>41149</v>
      </c>
      <c r="AE665" s="444"/>
      <c r="AF665" s="444"/>
      <c r="AG665" s="423"/>
      <c r="AH665" s="423">
        <v>0</v>
      </c>
      <c r="AI665" s="425"/>
      <c r="AJ665" s="736"/>
      <c r="AK665" s="423"/>
      <c r="AL665" s="423"/>
      <c r="AM665" s="423"/>
      <c r="AN665" s="423"/>
      <c r="AO665" s="419"/>
      <c r="AP665" s="463"/>
      <c r="AQ665" s="782"/>
    </row>
    <row r="666" spans="1:43" s="464" customFormat="1" ht="28.5" customHeight="1">
      <c r="A666" s="491" t="s">
        <v>3487</v>
      </c>
      <c r="B666" s="468" t="s">
        <v>3507</v>
      </c>
      <c r="C666" s="445" t="s">
        <v>3447</v>
      </c>
      <c r="D666" s="420" t="s">
        <v>707</v>
      </c>
      <c r="E666" s="419" t="s">
        <v>1043</v>
      </c>
      <c r="F666" s="419">
        <v>1</v>
      </c>
      <c r="G666" s="419"/>
      <c r="H666" s="421" t="s">
        <v>968</v>
      </c>
      <c r="I666" s="448" t="s">
        <v>1548</v>
      </c>
      <c r="J666" s="419" t="s">
        <v>2264</v>
      </c>
      <c r="K666" s="455" t="s">
        <v>2001</v>
      </c>
      <c r="L666" s="425">
        <f>O666/5</f>
        <v>198.869</v>
      </c>
      <c r="M666" s="423">
        <v>0</v>
      </c>
      <c r="N666" s="431">
        <v>39448</v>
      </c>
      <c r="O666" s="425">
        <v>994.34500000000003</v>
      </c>
      <c r="P666" s="868" t="s">
        <v>728</v>
      </c>
      <c r="Q666" s="1087">
        <f>953.167+186.276</f>
        <v>1139.443</v>
      </c>
      <c r="R666" s="425"/>
      <c r="S666" s="425"/>
      <c r="T666" s="733">
        <v>41193</v>
      </c>
      <c r="U666" s="444">
        <v>41182</v>
      </c>
      <c r="V666" s="425">
        <v>944.76396164383561</v>
      </c>
      <c r="W666" s="400">
        <f t="shared" si="36"/>
        <v>1.2060610335066484</v>
      </c>
      <c r="X666" s="543" t="s">
        <v>728</v>
      </c>
      <c r="Y666" s="445" t="s">
        <v>2674</v>
      </c>
      <c r="Z666" s="419" t="s">
        <v>3383</v>
      </c>
      <c r="AA666" s="496">
        <v>41199</v>
      </c>
      <c r="AB666" s="550"/>
      <c r="AC666" s="881">
        <v>41186</v>
      </c>
      <c r="AD666" s="444">
        <v>41141</v>
      </c>
      <c r="AE666" s="444"/>
      <c r="AF666" s="444"/>
      <c r="AG666" s="423"/>
      <c r="AH666" s="423">
        <v>0</v>
      </c>
      <c r="AI666" s="425"/>
      <c r="AJ666" s="736"/>
      <c r="AK666" s="423"/>
      <c r="AL666" s="423"/>
      <c r="AM666" s="423"/>
      <c r="AN666" s="423"/>
      <c r="AO666" s="419"/>
      <c r="AP666" s="463"/>
      <c r="AQ666" s="782"/>
    </row>
    <row r="667" spans="1:43" s="464" customFormat="1" ht="15" customHeight="1">
      <c r="A667" s="491" t="s">
        <v>3494</v>
      </c>
      <c r="B667" s="468" t="s">
        <v>3506</v>
      </c>
      <c r="C667" s="445" t="s">
        <v>3448</v>
      </c>
      <c r="D667" s="420" t="s">
        <v>707</v>
      </c>
      <c r="E667" s="419" t="s">
        <v>1043</v>
      </c>
      <c r="F667" s="419">
        <v>1</v>
      </c>
      <c r="G667" s="419"/>
      <c r="H667" s="421" t="s">
        <v>968</v>
      </c>
      <c r="I667" s="448" t="s">
        <v>1548</v>
      </c>
      <c r="J667" s="419" t="s">
        <v>2264</v>
      </c>
      <c r="K667" s="455" t="s">
        <v>2001</v>
      </c>
      <c r="L667" s="425">
        <f>O667/5</f>
        <v>737.19299999999998</v>
      </c>
      <c r="M667" s="423">
        <v>0</v>
      </c>
      <c r="N667" s="431">
        <v>39448</v>
      </c>
      <c r="O667" s="425">
        <v>3685.9650000000001</v>
      </c>
      <c r="P667" s="868" t="s">
        <v>728</v>
      </c>
      <c r="Q667" s="1087">
        <f>3669.297+736.299</f>
        <v>4405.5959999999995</v>
      </c>
      <c r="R667" s="425"/>
      <c r="S667" s="425"/>
      <c r="T667" s="733">
        <v>41191</v>
      </c>
      <c r="U667" s="444">
        <v>41182</v>
      </c>
      <c r="V667" s="425">
        <v>3502.1716767123285</v>
      </c>
      <c r="W667" s="400">
        <f t="shared" si="36"/>
        <v>1.2579611757170519</v>
      </c>
      <c r="X667" s="543" t="s">
        <v>728</v>
      </c>
      <c r="Y667" s="445" t="s">
        <v>2674</v>
      </c>
      <c r="Z667" s="428" t="s">
        <v>3383</v>
      </c>
      <c r="AA667" s="496">
        <v>41200</v>
      </c>
      <c r="AB667" s="550"/>
      <c r="AC667" s="444">
        <v>41186</v>
      </c>
      <c r="AD667" s="444">
        <v>41151</v>
      </c>
      <c r="AE667" s="444"/>
      <c r="AF667" s="444"/>
      <c r="AG667" s="423"/>
      <c r="AH667" s="423">
        <v>0</v>
      </c>
      <c r="AI667" s="425"/>
      <c r="AJ667" s="736"/>
      <c r="AK667" s="423"/>
      <c r="AL667" s="423"/>
      <c r="AM667" s="423"/>
      <c r="AN667" s="423"/>
      <c r="AO667" s="419"/>
      <c r="AP667" s="463"/>
      <c r="AQ667" s="782"/>
    </row>
    <row r="668" spans="1:43" s="464" customFormat="1" ht="13.5" customHeight="1">
      <c r="A668" s="491" t="s">
        <v>3496</v>
      </c>
      <c r="B668" s="468" t="s">
        <v>3504</v>
      </c>
      <c r="C668" s="445" t="s">
        <v>3446</v>
      </c>
      <c r="D668" s="420" t="s">
        <v>707</v>
      </c>
      <c r="E668" s="419" t="s">
        <v>229</v>
      </c>
      <c r="F668" s="419">
        <v>1</v>
      </c>
      <c r="G668" s="419"/>
      <c r="H668" s="421" t="s">
        <v>968</v>
      </c>
      <c r="I668" s="448" t="s">
        <v>1548</v>
      </c>
      <c r="J668" s="419" t="s">
        <v>2264</v>
      </c>
      <c r="K668" s="450" t="s">
        <v>2001</v>
      </c>
      <c r="L668" s="425">
        <v>358.17099999999999</v>
      </c>
      <c r="M668" s="423">
        <v>0</v>
      </c>
      <c r="N668" s="431">
        <v>39539</v>
      </c>
      <c r="O668" s="425">
        <v>1701.31</v>
      </c>
      <c r="P668" s="868" t="s">
        <v>728</v>
      </c>
      <c r="Q668" s="1087">
        <f>1591.582</f>
        <v>1591.5820000000001</v>
      </c>
      <c r="R668" s="425"/>
      <c r="S668" s="425"/>
      <c r="T668" s="733">
        <v>41207</v>
      </c>
      <c r="U668" s="444">
        <v>41152</v>
      </c>
      <c r="V668" s="425">
        <v>1582.8214328767124</v>
      </c>
      <c r="W668" s="400">
        <f t="shared" si="36"/>
        <v>1.0055347791869143</v>
      </c>
      <c r="X668" s="543" t="s">
        <v>728</v>
      </c>
      <c r="Y668" s="419" t="s">
        <v>2896</v>
      </c>
      <c r="Z668" s="462" t="s">
        <v>2897</v>
      </c>
      <c r="AA668" s="496">
        <v>41201</v>
      </c>
      <c r="AB668" s="550"/>
      <c r="AC668" s="444">
        <v>41187</v>
      </c>
      <c r="AD668" s="444">
        <v>41177</v>
      </c>
      <c r="AE668" s="444"/>
      <c r="AF668" s="444"/>
      <c r="AG668" s="423"/>
      <c r="AH668" s="423">
        <v>0</v>
      </c>
      <c r="AI668" s="425"/>
      <c r="AJ668" s="736"/>
      <c r="AK668" s="423"/>
      <c r="AL668" s="423"/>
      <c r="AM668" s="423"/>
      <c r="AN668" s="423"/>
      <c r="AO668" s="419"/>
      <c r="AP668" s="463"/>
      <c r="AQ668" s="782"/>
    </row>
    <row r="669" spans="1:43" s="464" customFormat="1" ht="28.5" customHeight="1">
      <c r="A669" s="491" t="s">
        <v>3498</v>
      </c>
      <c r="B669" s="468" t="s">
        <v>3527</v>
      </c>
      <c r="C669" s="445" t="s">
        <v>3461</v>
      </c>
      <c r="D669" s="420" t="s">
        <v>707</v>
      </c>
      <c r="E669" s="419" t="s">
        <v>229</v>
      </c>
      <c r="F669" s="419">
        <v>1</v>
      </c>
      <c r="G669" s="419"/>
      <c r="H669" s="421" t="s">
        <v>968</v>
      </c>
      <c r="I669" s="448" t="s">
        <v>1548</v>
      </c>
      <c r="J669" s="419" t="s">
        <v>2264</v>
      </c>
      <c r="K669" s="450" t="s">
        <v>2001</v>
      </c>
      <c r="L669" s="425">
        <v>1875.443</v>
      </c>
      <c r="M669" s="423">
        <v>0</v>
      </c>
      <c r="N669" s="431">
        <v>39722</v>
      </c>
      <c r="O669" s="425">
        <v>7970.634</v>
      </c>
      <c r="P669" s="868" t="s">
        <v>728</v>
      </c>
      <c r="Q669" s="1087">
        <f>7389.358</f>
        <v>7389.3580000000002</v>
      </c>
      <c r="R669" s="425"/>
      <c r="S669" s="425"/>
      <c r="T669" s="733">
        <v>41207</v>
      </c>
      <c r="U669" s="444">
        <v>41152</v>
      </c>
      <c r="V669" s="425">
        <v>7347.6260000000002</v>
      </c>
      <c r="W669" s="400">
        <f t="shared" si="36"/>
        <v>1.0056796576200258</v>
      </c>
      <c r="X669" s="543" t="s">
        <v>728</v>
      </c>
      <c r="Y669" s="419" t="s">
        <v>2896</v>
      </c>
      <c r="Z669" s="462" t="s">
        <v>2897</v>
      </c>
      <c r="AA669" s="496">
        <v>41204</v>
      </c>
      <c r="AB669" s="550"/>
      <c r="AC669" s="496">
        <v>41187</v>
      </c>
      <c r="AD669" s="444">
        <v>41177</v>
      </c>
      <c r="AE669" s="444"/>
      <c r="AF669" s="444"/>
      <c r="AG669" s="423"/>
      <c r="AH669" s="423">
        <v>0</v>
      </c>
      <c r="AI669" s="425"/>
      <c r="AJ669" s="736"/>
      <c r="AK669" s="423"/>
      <c r="AL669" s="423"/>
      <c r="AM669" s="423"/>
      <c r="AN669" s="423"/>
      <c r="AO669" s="419"/>
      <c r="AP669" s="463"/>
      <c r="AQ669" s="782"/>
    </row>
    <row r="670" spans="1:43" s="464" customFormat="1" ht="15.75" customHeight="1">
      <c r="A670" s="491" t="s">
        <v>3513</v>
      </c>
      <c r="B670" s="468" t="s">
        <v>3546</v>
      </c>
      <c r="C670" s="445" t="s">
        <v>3521</v>
      </c>
      <c r="D670" s="420" t="s">
        <v>707</v>
      </c>
      <c r="E670" s="419" t="s">
        <v>1043</v>
      </c>
      <c r="F670" s="419">
        <v>1</v>
      </c>
      <c r="G670" s="419"/>
      <c r="H670" s="421" t="s">
        <v>968</v>
      </c>
      <c r="I670" s="448" t="s">
        <v>1548</v>
      </c>
      <c r="J670" s="419" t="s">
        <v>2264</v>
      </c>
      <c r="K670" s="450" t="s">
        <v>2001</v>
      </c>
      <c r="L670" s="425">
        <f>O670/5</f>
        <v>80.123999999999995</v>
      </c>
      <c r="M670" s="423">
        <v>0</v>
      </c>
      <c r="N670" s="431">
        <v>39448</v>
      </c>
      <c r="O670" s="425">
        <v>400.62</v>
      </c>
      <c r="P670" s="868" t="s">
        <v>728</v>
      </c>
      <c r="Q670" s="1087">
        <f>400.728+75.06</f>
        <v>475.78800000000001</v>
      </c>
      <c r="R670" s="425"/>
      <c r="S670" s="425"/>
      <c r="T670" s="733">
        <v>41197</v>
      </c>
      <c r="U670" s="444">
        <v>41182</v>
      </c>
      <c r="V670" s="425">
        <v>380.64387945205476</v>
      </c>
      <c r="W670" s="400">
        <f t="shared" si="36"/>
        <v>1.2499557347011787</v>
      </c>
      <c r="X670" s="543" t="s">
        <v>728</v>
      </c>
      <c r="Y670" s="445" t="s">
        <v>2674</v>
      </c>
      <c r="Z670" s="428" t="s">
        <v>3383</v>
      </c>
      <c r="AA670" s="496">
        <v>41212</v>
      </c>
      <c r="AB670" s="550"/>
      <c r="AC670" s="444">
        <v>41193</v>
      </c>
      <c r="AD670" s="444">
        <v>41152</v>
      </c>
      <c r="AE670" s="444"/>
      <c r="AF670" s="444"/>
      <c r="AG670" s="423"/>
      <c r="AH670" s="423">
        <v>0</v>
      </c>
      <c r="AI670" s="425"/>
      <c r="AJ670" s="736"/>
      <c r="AK670" s="423"/>
      <c r="AL670" s="423"/>
      <c r="AM670" s="423"/>
      <c r="AN670" s="423"/>
      <c r="AO670" s="419"/>
      <c r="AP670" s="463"/>
      <c r="AQ670" s="782"/>
    </row>
    <row r="671" spans="1:43" s="464" customFormat="1" ht="27" customHeight="1">
      <c r="A671" s="491" t="s">
        <v>3514</v>
      </c>
      <c r="B671" s="468" t="s">
        <v>3545</v>
      </c>
      <c r="C671" s="445" t="s">
        <v>3522</v>
      </c>
      <c r="D671" s="420" t="s">
        <v>707</v>
      </c>
      <c r="E671" s="419" t="s">
        <v>822</v>
      </c>
      <c r="F671" s="419">
        <v>1</v>
      </c>
      <c r="G671" s="419"/>
      <c r="H671" s="421" t="s">
        <v>968</v>
      </c>
      <c r="I671" s="455" t="s">
        <v>1059</v>
      </c>
      <c r="J671" s="507" t="s">
        <v>2954</v>
      </c>
      <c r="K671" s="450" t="s">
        <v>2001</v>
      </c>
      <c r="L671" s="425">
        <f>O671/5</f>
        <v>60.269600000000004</v>
      </c>
      <c r="M671" s="423">
        <v>20</v>
      </c>
      <c r="N671" s="431">
        <v>39448</v>
      </c>
      <c r="O671" s="425">
        <v>301.34800000000001</v>
      </c>
      <c r="P671" s="868" t="s">
        <v>728</v>
      </c>
      <c r="Q671" s="1087">
        <f>196.019</f>
        <v>196.01900000000001</v>
      </c>
      <c r="R671" s="425"/>
      <c r="S671" s="425"/>
      <c r="T671" s="733">
        <v>41204</v>
      </c>
      <c r="U671" s="444">
        <v>40908</v>
      </c>
      <c r="V671" s="425">
        <v>201.07840000000002</v>
      </c>
      <c r="W671" s="400">
        <f t="shared" si="36"/>
        <v>0.97483866989194257</v>
      </c>
      <c r="X671" s="543" t="s">
        <v>728</v>
      </c>
      <c r="Y671" s="507" t="s">
        <v>3523</v>
      </c>
      <c r="Z671" s="934" t="s">
        <v>3383</v>
      </c>
      <c r="AA671" s="496">
        <v>41212</v>
      </c>
      <c r="AB671" s="506"/>
      <c r="AC671" s="444">
        <v>41200</v>
      </c>
      <c r="AD671" s="444">
        <v>41144</v>
      </c>
      <c r="AE671" s="425"/>
      <c r="AF671" s="513"/>
      <c r="AG671" s="425"/>
      <c r="AH671" s="423">
        <v>0</v>
      </c>
      <c r="AI671" s="444"/>
      <c r="AJ671" s="736"/>
      <c r="AK671" s="419"/>
      <c r="AL671" s="448"/>
      <c r="AM671" s="445"/>
      <c r="AN671" s="445"/>
      <c r="AO671" s="419"/>
      <c r="AP671" s="463"/>
      <c r="AQ671" s="782"/>
    </row>
    <row r="672" spans="1:43" s="464" customFormat="1" ht="15.75" customHeight="1">
      <c r="A672" s="491" t="s">
        <v>3515</v>
      </c>
      <c r="B672" s="468" t="s">
        <v>3544</v>
      </c>
      <c r="C672" s="445" t="s">
        <v>3524</v>
      </c>
      <c r="D672" s="420" t="s">
        <v>707</v>
      </c>
      <c r="E672" s="419" t="s">
        <v>3525</v>
      </c>
      <c r="F672" s="419">
        <v>1</v>
      </c>
      <c r="G672" s="419"/>
      <c r="H672" s="421" t="s">
        <v>968</v>
      </c>
      <c r="I672" s="455" t="s">
        <v>1059</v>
      </c>
      <c r="J672" s="552" t="s">
        <v>2954</v>
      </c>
      <c r="K672" s="450" t="s">
        <v>2001</v>
      </c>
      <c r="L672" s="425">
        <f>O672/5</f>
        <v>651.61480000000006</v>
      </c>
      <c r="M672" s="423">
        <v>50</v>
      </c>
      <c r="N672" s="431">
        <v>39448</v>
      </c>
      <c r="O672" s="425">
        <v>3258.0740000000001</v>
      </c>
      <c r="P672" s="868" t="s">
        <v>728</v>
      </c>
      <c r="Q672" s="1087">
        <v>3258.0740000000001</v>
      </c>
      <c r="R672" s="425"/>
      <c r="S672" s="425"/>
      <c r="T672" s="733">
        <v>41219</v>
      </c>
      <c r="U672" s="444">
        <v>41213</v>
      </c>
      <c r="V672" s="425">
        <v>3131.0868420341531</v>
      </c>
      <c r="W672" s="400">
        <f t="shared" si="36"/>
        <v>1.0405568942582724</v>
      </c>
      <c r="X672" s="543" t="s">
        <v>728</v>
      </c>
      <c r="Y672" s="507" t="s">
        <v>3523</v>
      </c>
      <c r="Z672" s="507" t="s">
        <v>3526</v>
      </c>
      <c r="AA672" s="496">
        <v>41212</v>
      </c>
      <c r="AB672" s="550"/>
      <c r="AC672" s="444">
        <v>41206</v>
      </c>
      <c r="AD672" s="444">
        <v>41185</v>
      </c>
      <c r="AE672" s="444"/>
      <c r="AF672" s="444"/>
      <c r="AG672" s="423"/>
      <c r="AH672" s="423">
        <v>0</v>
      </c>
      <c r="AI672" s="425"/>
      <c r="AJ672" s="736"/>
      <c r="AK672" s="423"/>
      <c r="AL672" s="423"/>
      <c r="AM672" s="423"/>
      <c r="AN672" s="423"/>
      <c r="AO672" s="419"/>
      <c r="AP672" s="463"/>
      <c r="AQ672" s="782"/>
    </row>
    <row r="673" spans="1:43" s="464" customFormat="1" ht="27.75" customHeight="1">
      <c r="A673" s="491" t="s">
        <v>3474</v>
      </c>
      <c r="B673" s="468" t="s">
        <v>3543</v>
      </c>
      <c r="C673" s="445" t="s">
        <v>3459</v>
      </c>
      <c r="D673" s="420" t="s">
        <v>707</v>
      </c>
      <c r="E673" s="419" t="s">
        <v>1619</v>
      </c>
      <c r="F673" s="419">
        <v>1</v>
      </c>
      <c r="G673" s="419"/>
      <c r="H673" s="421" t="s">
        <v>968</v>
      </c>
      <c r="I673" s="448" t="s">
        <v>1082</v>
      </c>
      <c r="J673" s="419" t="s">
        <v>687</v>
      </c>
      <c r="K673" s="450" t="s">
        <v>2001</v>
      </c>
      <c r="L673" s="425">
        <v>15.127000000000001</v>
      </c>
      <c r="M673" s="423">
        <v>0</v>
      </c>
      <c r="N673" s="431">
        <v>40527</v>
      </c>
      <c r="O673" s="425">
        <v>45.381999999999998</v>
      </c>
      <c r="P673" s="868" t="s">
        <v>728</v>
      </c>
      <c r="Q673" s="1087"/>
      <c r="R673" s="419"/>
      <c r="S673" s="419"/>
      <c r="T673" s="733"/>
      <c r="U673" s="444"/>
      <c r="V673" s="425"/>
      <c r="W673" s="427"/>
      <c r="X673" s="543"/>
      <c r="Y673" s="419" t="s">
        <v>2420</v>
      </c>
      <c r="Z673" s="428" t="s">
        <v>3460</v>
      </c>
      <c r="AA673" s="496">
        <v>41187</v>
      </c>
      <c r="AB673" s="550"/>
      <c r="AC673" s="881">
        <v>41152</v>
      </c>
      <c r="AD673" s="444">
        <v>40928</v>
      </c>
      <c r="AE673" s="444"/>
      <c r="AF673" s="444"/>
      <c r="AG673" s="423"/>
      <c r="AH673" s="423">
        <v>0</v>
      </c>
      <c r="AI673" s="425"/>
      <c r="AJ673" s="736"/>
      <c r="AK673" s="423"/>
      <c r="AL673" s="423"/>
      <c r="AM673" s="423"/>
      <c r="AN673" s="423"/>
      <c r="AO673" s="419"/>
      <c r="AP673" s="463"/>
      <c r="AQ673" s="782"/>
    </row>
    <row r="674" spans="1:43" s="464" customFormat="1" ht="15.75" customHeight="1">
      <c r="A674" s="491" t="s">
        <v>3499</v>
      </c>
      <c r="B674" s="468" t="s">
        <v>3540</v>
      </c>
      <c r="C674" s="445" t="s">
        <v>3500</v>
      </c>
      <c r="D674" s="420" t="s">
        <v>707</v>
      </c>
      <c r="E674" s="419" t="s">
        <v>1043</v>
      </c>
      <c r="F674" s="419">
        <v>1</v>
      </c>
      <c r="G674" s="419"/>
      <c r="H674" s="421" t="s">
        <v>968</v>
      </c>
      <c r="I674" s="448" t="s">
        <v>1548</v>
      </c>
      <c r="J674" s="419" t="s">
        <v>2264</v>
      </c>
      <c r="K674" s="450" t="s">
        <v>2001</v>
      </c>
      <c r="L674" s="425">
        <v>1410.3489999999999</v>
      </c>
      <c r="M674" s="423">
        <v>0</v>
      </c>
      <c r="N674" s="431">
        <v>39573</v>
      </c>
      <c r="O674" s="425">
        <v>6581.6310000000003</v>
      </c>
      <c r="P674" s="868" t="s">
        <v>728</v>
      </c>
      <c r="Q674" s="1087">
        <f>6214.761</f>
        <v>6214.7610000000004</v>
      </c>
      <c r="R674" s="425"/>
      <c r="S674" s="425"/>
      <c r="T674" s="733">
        <v>41207</v>
      </c>
      <c r="U674" s="444">
        <v>41182</v>
      </c>
      <c r="V674" s="425">
        <v>6217.1275095890405</v>
      </c>
      <c r="W674" s="400">
        <f t="shared" ref="W674:W707" si="37">Q674/V674</f>
        <v>0.99961935643343491</v>
      </c>
      <c r="X674" s="543" t="s">
        <v>728</v>
      </c>
      <c r="Y674" s="419" t="s">
        <v>2896</v>
      </c>
      <c r="Z674" s="445" t="s">
        <v>2897</v>
      </c>
      <c r="AA674" s="496">
        <v>41211</v>
      </c>
      <c r="AB674" s="496"/>
      <c r="AC674" s="444">
        <v>41200</v>
      </c>
      <c r="AD674" s="431">
        <v>41200</v>
      </c>
      <c r="AE674" s="444"/>
      <c r="AF674" s="733"/>
      <c r="AG674" s="423"/>
      <c r="AH674" s="423">
        <v>0</v>
      </c>
      <c r="AI674" s="425"/>
      <c r="AJ674" s="736"/>
      <c r="AK674" s="423"/>
      <c r="AL674" s="432"/>
      <c r="AM674" s="423"/>
      <c r="AN674" s="423"/>
      <c r="AO674" s="419"/>
      <c r="AP674" s="463"/>
      <c r="AQ674" s="782"/>
    </row>
    <row r="675" spans="1:43" s="464" customFormat="1" ht="27.75" customHeight="1">
      <c r="A675" s="491" t="s">
        <v>3510</v>
      </c>
      <c r="B675" s="468" t="s">
        <v>3539</v>
      </c>
      <c r="C675" s="445" t="s">
        <v>3517</v>
      </c>
      <c r="D675" s="420" t="s">
        <v>707</v>
      </c>
      <c r="E675" s="419" t="s">
        <v>229</v>
      </c>
      <c r="F675" s="419">
        <v>1</v>
      </c>
      <c r="G675" s="419"/>
      <c r="H675" s="421" t="s">
        <v>968</v>
      </c>
      <c r="I675" s="448" t="s">
        <v>1548</v>
      </c>
      <c r="J675" s="419" t="s">
        <v>2264</v>
      </c>
      <c r="K675" s="450" t="s">
        <v>2001</v>
      </c>
      <c r="L675" s="425">
        <v>545.08399999999995</v>
      </c>
      <c r="M675" s="423">
        <v>0</v>
      </c>
      <c r="N675" s="431">
        <v>39580</v>
      </c>
      <c r="O675" s="425">
        <v>2543.7240000000002</v>
      </c>
      <c r="P675" s="868" t="s">
        <v>728</v>
      </c>
      <c r="Q675" s="1087">
        <f>2397.41</f>
        <v>2397.41</v>
      </c>
      <c r="R675" s="425"/>
      <c r="S675" s="425"/>
      <c r="T675" s="733">
        <v>41207</v>
      </c>
      <c r="U675" s="444">
        <v>41182</v>
      </c>
      <c r="V675" s="425">
        <v>2392.3960767123285</v>
      </c>
      <c r="W675" s="400">
        <f t="shared" si="37"/>
        <v>1.0020957747492052</v>
      </c>
      <c r="X675" s="543" t="s">
        <v>728</v>
      </c>
      <c r="Y675" s="419" t="s">
        <v>2896</v>
      </c>
      <c r="Z675" s="445" t="s">
        <v>2897</v>
      </c>
      <c r="AA675" s="496">
        <v>41211</v>
      </c>
      <c r="AB675" s="550"/>
      <c r="AC675" s="881">
        <v>41200</v>
      </c>
      <c r="AD675" s="444">
        <v>41200</v>
      </c>
      <c r="AE675" s="444"/>
      <c r="AF675" s="444"/>
      <c r="AG675" s="423"/>
      <c r="AH675" s="423">
        <v>0</v>
      </c>
      <c r="AI675" s="425"/>
      <c r="AJ675" s="736"/>
      <c r="AK675" s="423"/>
      <c r="AL675" s="423"/>
      <c r="AM675" s="423"/>
      <c r="AN675" s="423"/>
      <c r="AO675" s="419"/>
      <c r="AP675" s="463"/>
      <c r="AQ675" s="782"/>
    </row>
    <row r="676" spans="1:43" s="464" customFormat="1" ht="27.75" customHeight="1">
      <c r="A676" s="491" t="s">
        <v>3509</v>
      </c>
      <c r="B676" s="468" t="s">
        <v>3538</v>
      </c>
      <c r="C676" s="445" t="s">
        <v>3516</v>
      </c>
      <c r="D676" s="420" t="s">
        <v>707</v>
      </c>
      <c r="E676" s="419" t="s">
        <v>229</v>
      </c>
      <c r="F676" s="419">
        <v>1</v>
      </c>
      <c r="G676" s="419"/>
      <c r="H676" s="421" t="s">
        <v>968</v>
      </c>
      <c r="I676" s="448" t="s">
        <v>1548</v>
      </c>
      <c r="J676" s="419" t="s">
        <v>2264</v>
      </c>
      <c r="K676" s="455" t="s">
        <v>2001</v>
      </c>
      <c r="L676" s="425">
        <v>524.44299999999998</v>
      </c>
      <c r="M676" s="423">
        <v>0</v>
      </c>
      <c r="N676" s="431">
        <v>39580</v>
      </c>
      <c r="O676" s="425">
        <v>2447.3989999999999</v>
      </c>
      <c r="P676" s="868" t="s">
        <v>728</v>
      </c>
      <c r="Q676" s="1087">
        <f>2292.159</f>
        <v>2292.1590000000001</v>
      </c>
      <c r="R676" s="425"/>
      <c r="S676" s="425"/>
      <c r="T676" s="733">
        <v>41207</v>
      </c>
      <c r="U676" s="444">
        <v>41182</v>
      </c>
      <c r="V676" s="425">
        <v>2301.8018794520549</v>
      </c>
      <c r="W676" s="400">
        <f t="shared" si="37"/>
        <v>0.99581072570227014</v>
      </c>
      <c r="X676" s="543" t="s">
        <v>728</v>
      </c>
      <c r="Y676" s="419" t="s">
        <v>2896</v>
      </c>
      <c r="Z676" s="462" t="s">
        <v>2897</v>
      </c>
      <c r="AA676" s="496">
        <v>41211</v>
      </c>
      <c r="AB676" s="550"/>
      <c r="AC676" s="881">
        <v>41200</v>
      </c>
      <c r="AD676" s="444">
        <v>41200</v>
      </c>
      <c r="AE676" s="444"/>
      <c r="AF676" s="444"/>
      <c r="AG676" s="423"/>
      <c r="AH676" s="423">
        <v>0</v>
      </c>
      <c r="AI676" s="425"/>
      <c r="AJ676" s="736"/>
      <c r="AK676" s="423"/>
      <c r="AL676" s="423"/>
      <c r="AM676" s="423"/>
      <c r="AN676" s="423"/>
      <c r="AO676" s="419"/>
      <c r="AP676" s="463"/>
      <c r="AQ676" s="782"/>
    </row>
    <row r="677" spans="1:43" s="464" customFormat="1" ht="27.75" customHeight="1">
      <c r="A677" s="491" t="s">
        <v>3511</v>
      </c>
      <c r="B677" s="468" t="s">
        <v>3536</v>
      </c>
      <c r="C677" s="445" t="s">
        <v>3518</v>
      </c>
      <c r="D677" s="420" t="s">
        <v>707</v>
      </c>
      <c r="E677" s="419" t="s">
        <v>229</v>
      </c>
      <c r="F677" s="419">
        <v>1</v>
      </c>
      <c r="G677" s="419"/>
      <c r="H677" s="421" t="s">
        <v>968</v>
      </c>
      <c r="I677" s="448" t="s">
        <v>1548</v>
      </c>
      <c r="J677" s="419" t="s">
        <v>2264</v>
      </c>
      <c r="K677" s="455" t="s">
        <v>2001</v>
      </c>
      <c r="L677" s="425">
        <v>2475.92</v>
      </c>
      <c r="M677" s="423">
        <v>0</v>
      </c>
      <c r="N677" s="431">
        <v>39706</v>
      </c>
      <c r="O677" s="425">
        <v>10728.985000000001</v>
      </c>
      <c r="P677" s="868" t="s">
        <v>728</v>
      </c>
      <c r="Q677" s="1087">
        <v>10112.99</v>
      </c>
      <c r="R677" s="425"/>
      <c r="S677" s="425"/>
      <c r="T677" s="733">
        <v>41207</v>
      </c>
      <c r="U677" s="444">
        <v>41182</v>
      </c>
      <c r="V677" s="425">
        <v>10012.213479452055</v>
      </c>
      <c r="W677" s="400">
        <f t="shared" si="37"/>
        <v>1.0100653587495678</v>
      </c>
      <c r="X677" s="543" t="s">
        <v>728</v>
      </c>
      <c r="Y677" s="419" t="s">
        <v>2896</v>
      </c>
      <c r="Z677" s="445" t="s">
        <v>2897</v>
      </c>
      <c r="AA677" s="496">
        <v>41211</v>
      </c>
      <c r="AB677" s="550"/>
      <c r="AC677" s="881">
        <v>41200</v>
      </c>
      <c r="AD677" s="444">
        <v>41200</v>
      </c>
      <c r="AE677" s="444"/>
      <c r="AF677" s="444"/>
      <c r="AG677" s="423"/>
      <c r="AH677" s="423">
        <v>0</v>
      </c>
      <c r="AI677" s="425"/>
      <c r="AJ677" s="736"/>
      <c r="AK677" s="423"/>
      <c r="AL677" s="423"/>
      <c r="AM677" s="423"/>
      <c r="AN677" s="423"/>
      <c r="AO677" s="419"/>
      <c r="AP677" s="463"/>
      <c r="AQ677" s="782"/>
    </row>
    <row r="678" spans="1:43" s="464" customFormat="1" ht="27" customHeight="1">
      <c r="A678" s="491" t="s">
        <v>3512</v>
      </c>
      <c r="B678" s="468" t="s">
        <v>3548</v>
      </c>
      <c r="C678" s="445" t="s">
        <v>3519</v>
      </c>
      <c r="D678" s="420" t="s">
        <v>707</v>
      </c>
      <c r="E678" s="419" t="s">
        <v>1126</v>
      </c>
      <c r="F678" s="419">
        <v>1</v>
      </c>
      <c r="G678" s="419"/>
      <c r="H678" s="421" t="s">
        <v>968</v>
      </c>
      <c r="I678" s="471" t="s">
        <v>1548</v>
      </c>
      <c r="J678" s="419" t="s">
        <v>235</v>
      </c>
      <c r="K678" s="455" t="s">
        <v>3391</v>
      </c>
      <c r="L678" s="425">
        <f>O678/5</f>
        <v>729.88400000000001</v>
      </c>
      <c r="M678" s="423">
        <v>55</v>
      </c>
      <c r="N678" s="431">
        <v>39448</v>
      </c>
      <c r="O678" s="425">
        <v>3649.42</v>
      </c>
      <c r="P678" s="868" t="s">
        <v>728</v>
      </c>
      <c r="Q678" s="1087">
        <f>3536.198</f>
        <v>3536.1979999999999</v>
      </c>
      <c r="R678" s="425"/>
      <c r="S678" s="425"/>
      <c r="T678" s="733">
        <v>41222</v>
      </c>
      <c r="U678" s="444">
        <v>41182</v>
      </c>
      <c r="V678" s="425">
        <v>3434.8774437230245</v>
      </c>
      <c r="W678" s="400">
        <f t="shared" si="37"/>
        <v>1.0294975753682656</v>
      </c>
      <c r="X678" s="543" t="s">
        <v>728</v>
      </c>
      <c r="Y678" s="445" t="s">
        <v>2659</v>
      </c>
      <c r="Z678" s="419" t="s">
        <v>3520</v>
      </c>
      <c r="AA678" s="496">
        <v>41211</v>
      </c>
      <c r="AB678" s="550"/>
      <c r="AC678" s="881">
        <v>41200</v>
      </c>
      <c r="AD678" s="444">
        <v>41171</v>
      </c>
      <c r="AE678" s="444"/>
      <c r="AF678" s="444"/>
      <c r="AG678" s="423"/>
      <c r="AH678" s="423">
        <v>0</v>
      </c>
      <c r="AI678" s="425"/>
      <c r="AJ678" s="736"/>
      <c r="AK678" s="423"/>
      <c r="AL678" s="423"/>
      <c r="AM678" s="423"/>
      <c r="AN678" s="423"/>
      <c r="AO678" s="419"/>
      <c r="AP678" s="463"/>
      <c r="AQ678" s="782"/>
    </row>
    <row r="679" spans="1:43" s="464" customFormat="1" ht="27.75" customHeight="1">
      <c r="A679" s="491" t="s">
        <v>3529</v>
      </c>
      <c r="B679" s="468" t="s">
        <v>4023</v>
      </c>
      <c r="C679" s="445" t="s">
        <v>3534</v>
      </c>
      <c r="D679" s="420" t="s">
        <v>707</v>
      </c>
      <c r="E679" s="419" t="s">
        <v>1043</v>
      </c>
      <c r="F679" s="419">
        <v>1</v>
      </c>
      <c r="G679" s="419"/>
      <c r="H679" s="421" t="s">
        <v>968</v>
      </c>
      <c r="I679" s="455" t="s">
        <v>1467</v>
      </c>
      <c r="J679" s="445" t="s">
        <v>2584</v>
      </c>
      <c r="K679" s="450" t="s">
        <v>2001</v>
      </c>
      <c r="L679" s="425">
        <f>O679/5</f>
        <v>718.9624</v>
      </c>
      <c r="M679" s="423">
        <v>0</v>
      </c>
      <c r="N679" s="431">
        <v>39448</v>
      </c>
      <c r="O679" s="425">
        <v>3594.8119999999999</v>
      </c>
      <c r="P679" s="868" t="s">
        <v>728</v>
      </c>
      <c r="Q679" s="1087">
        <v>4428.5709999999999</v>
      </c>
      <c r="R679" s="419"/>
      <c r="S679" s="419"/>
      <c r="T679" s="733">
        <v>41183</v>
      </c>
      <c r="U679" s="444">
        <v>41090</v>
      </c>
      <c r="V679" s="425">
        <v>3234.3459200000002</v>
      </c>
      <c r="W679" s="400">
        <f t="shared" si="37"/>
        <v>1.3692323299791012</v>
      </c>
      <c r="X679" s="543" t="s">
        <v>728</v>
      </c>
      <c r="Y679" s="445" t="s">
        <v>2887</v>
      </c>
      <c r="Z679" s="462" t="s">
        <v>2889</v>
      </c>
      <c r="AA679" s="496">
        <v>41215</v>
      </c>
      <c r="AB679" s="550"/>
      <c r="AC679" s="881">
        <v>41002</v>
      </c>
      <c r="AD679" s="444">
        <v>40848</v>
      </c>
      <c r="AE679" s="444"/>
      <c r="AF679" s="444"/>
      <c r="AG679" s="423"/>
      <c r="AH679" s="423">
        <v>0</v>
      </c>
      <c r="AI679" s="425"/>
      <c r="AJ679" s="736"/>
      <c r="AK679" s="423"/>
      <c r="AL679" s="423"/>
      <c r="AM679" s="423">
        <v>658.84299999999996</v>
      </c>
      <c r="AN679" s="423"/>
      <c r="AO679" s="419"/>
      <c r="AP679" s="463"/>
      <c r="AQ679" s="782"/>
    </row>
    <row r="680" spans="1:43" s="464" customFormat="1" ht="29.25" customHeight="1">
      <c r="A680" s="491" t="s">
        <v>3532</v>
      </c>
      <c r="B680" s="468" t="s">
        <v>3568</v>
      </c>
      <c r="C680" s="445" t="s">
        <v>3550</v>
      </c>
      <c r="D680" s="420" t="s">
        <v>707</v>
      </c>
      <c r="E680" s="419" t="s">
        <v>229</v>
      </c>
      <c r="F680" s="419">
        <v>1</v>
      </c>
      <c r="G680" s="419"/>
      <c r="H680" s="421" t="s">
        <v>968</v>
      </c>
      <c r="I680" s="448" t="s">
        <v>1548</v>
      </c>
      <c r="J680" s="419" t="s">
        <v>2264</v>
      </c>
      <c r="K680" s="450" t="s">
        <v>2001</v>
      </c>
      <c r="L680" s="425">
        <v>1565.8030000000001</v>
      </c>
      <c r="M680" s="423">
        <v>0</v>
      </c>
      <c r="N680" s="431">
        <v>39489</v>
      </c>
      <c r="O680" s="425">
        <v>7698.5290000000005</v>
      </c>
      <c r="P680" s="868" t="s">
        <v>728</v>
      </c>
      <c r="Q680" s="1087">
        <f>7379.668</f>
        <v>7379.6679999999997</v>
      </c>
      <c r="R680" s="425"/>
      <c r="S680" s="425"/>
      <c r="T680" s="733">
        <v>41224</v>
      </c>
      <c r="U680" s="444">
        <v>41182</v>
      </c>
      <c r="V680" s="425">
        <v>7262.7519972602749</v>
      </c>
      <c r="W680" s="400">
        <f t="shared" si="37"/>
        <v>1.0160980304413298</v>
      </c>
      <c r="X680" s="543" t="s">
        <v>728</v>
      </c>
      <c r="Y680" s="419" t="s">
        <v>2896</v>
      </c>
      <c r="Z680" s="462" t="s">
        <v>2897</v>
      </c>
      <c r="AA680" s="496">
        <v>41220</v>
      </c>
      <c r="AB680" s="550"/>
      <c r="AC680" s="881">
        <v>41201</v>
      </c>
      <c r="AD680" s="444">
        <v>41200</v>
      </c>
      <c r="AE680" s="444"/>
      <c r="AF680" s="444"/>
      <c r="AG680" s="423"/>
      <c r="AH680" s="423">
        <v>0</v>
      </c>
      <c r="AI680" s="425"/>
      <c r="AJ680" s="736"/>
      <c r="AK680" s="423"/>
      <c r="AL680" s="423"/>
      <c r="AM680" s="423"/>
      <c r="AN680" s="423"/>
      <c r="AO680" s="419"/>
      <c r="AP680" s="463"/>
      <c r="AQ680" s="782"/>
    </row>
    <row r="681" spans="1:43" s="464" customFormat="1" ht="29.25" customHeight="1">
      <c r="A681" s="491" t="s">
        <v>3533</v>
      </c>
      <c r="B681" s="468" t="s">
        <v>3565</v>
      </c>
      <c r="C681" s="445" t="s">
        <v>3555</v>
      </c>
      <c r="D681" s="420" t="s">
        <v>707</v>
      </c>
      <c r="E681" s="419" t="s">
        <v>229</v>
      </c>
      <c r="F681" s="419">
        <v>1</v>
      </c>
      <c r="G681" s="419"/>
      <c r="H681" s="421" t="s">
        <v>968</v>
      </c>
      <c r="I681" s="448" t="s">
        <v>1548</v>
      </c>
      <c r="J681" s="419" t="s">
        <v>2264</v>
      </c>
      <c r="K681" s="450" t="s">
        <v>2001</v>
      </c>
      <c r="L681" s="425">
        <v>495.35700000000003</v>
      </c>
      <c r="M681" s="423">
        <v>0</v>
      </c>
      <c r="N681" s="431">
        <v>39510</v>
      </c>
      <c r="O681" s="425">
        <v>2394.2269999999999</v>
      </c>
      <c r="P681" s="868" t="s">
        <v>728</v>
      </c>
      <c r="Q681" s="1087">
        <f>2306.497</f>
        <v>2306.4969999999998</v>
      </c>
      <c r="R681" s="425"/>
      <c r="S681" s="425"/>
      <c r="T681" s="733">
        <v>41224</v>
      </c>
      <c r="U681" s="444">
        <v>41182</v>
      </c>
      <c r="V681" s="425">
        <v>2269.1422027397261</v>
      </c>
      <c r="W681" s="400">
        <f t="shared" si="37"/>
        <v>1.0164620785842209</v>
      </c>
      <c r="X681" s="543" t="s">
        <v>728</v>
      </c>
      <c r="Y681" s="419" t="s">
        <v>2896</v>
      </c>
      <c r="Z681" s="462" t="s">
        <v>2897</v>
      </c>
      <c r="AA681" s="496">
        <v>41220</v>
      </c>
      <c r="AB681" s="550"/>
      <c r="AC681" s="881">
        <v>41208</v>
      </c>
      <c r="AD681" s="444">
        <v>41207</v>
      </c>
      <c r="AE681" s="444"/>
      <c r="AF681" s="444"/>
      <c r="AG681" s="423"/>
      <c r="AH681" s="423">
        <v>0</v>
      </c>
      <c r="AI681" s="425"/>
      <c r="AJ681" s="736"/>
      <c r="AK681" s="423"/>
      <c r="AL681" s="423"/>
      <c r="AM681" s="423"/>
      <c r="AN681" s="423"/>
      <c r="AO681" s="419"/>
      <c r="AP681" s="463"/>
      <c r="AQ681" s="782"/>
    </row>
    <row r="682" spans="1:43" s="464" customFormat="1" ht="13.5" customHeight="1">
      <c r="A682" s="491" t="s">
        <v>3552</v>
      </c>
      <c r="B682" s="468" t="s">
        <v>3567</v>
      </c>
      <c r="C682" s="445" t="s">
        <v>3557</v>
      </c>
      <c r="D682" s="420" t="s">
        <v>707</v>
      </c>
      <c r="E682" s="419" t="s">
        <v>229</v>
      </c>
      <c r="F682" s="419">
        <v>1</v>
      </c>
      <c r="G682" s="419"/>
      <c r="H682" s="421" t="s">
        <v>968</v>
      </c>
      <c r="I682" s="448" t="s">
        <v>1548</v>
      </c>
      <c r="J682" s="419" t="s">
        <v>2264</v>
      </c>
      <c r="K682" s="450" t="s">
        <v>2001</v>
      </c>
      <c r="L682" s="425">
        <v>1112.0830000000001</v>
      </c>
      <c r="M682" s="423">
        <v>0</v>
      </c>
      <c r="N682" s="431">
        <v>39492</v>
      </c>
      <c r="O682" s="425">
        <v>5467.74</v>
      </c>
      <c r="P682" s="868" t="s">
        <v>728</v>
      </c>
      <c r="Q682" s="1087">
        <f>5198.339</f>
        <v>5198.3389999999999</v>
      </c>
      <c r="R682" s="425"/>
      <c r="S682" s="425"/>
      <c r="T682" s="733">
        <v>41225</v>
      </c>
      <c r="U682" s="444">
        <v>41182</v>
      </c>
      <c r="V682" s="425">
        <v>5149.0966301369863</v>
      </c>
      <c r="W682" s="400">
        <f t="shared" si="37"/>
        <v>1.0095633027305808</v>
      </c>
      <c r="X682" s="543" t="s">
        <v>728</v>
      </c>
      <c r="Y682" s="419" t="s">
        <v>2896</v>
      </c>
      <c r="Z682" s="462" t="s">
        <v>2897</v>
      </c>
      <c r="AA682" s="496">
        <v>41220</v>
      </c>
      <c r="AB682" s="550"/>
      <c r="AC682" s="881">
        <v>41201</v>
      </c>
      <c r="AD682" s="444">
        <v>41200</v>
      </c>
      <c r="AE682" s="444"/>
      <c r="AF682" s="444"/>
      <c r="AG682" s="423"/>
      <c r="AH682" s="423">
        <v>0</v>
      </c>
      <c r="AI682" s="425"/>
      <c r="AJ682" s="736"/>
      <c r="AK682" s="423"/>
      <c r="AL682" s="423"/>
      <c r="AM682" s="423"/>
      <c r="AN682" s="423"/>
      <c r="AO682" s="419"/>
      <c r="AP682" s="463"/>
      <c r="AQ682" s="782"/>
    </row>
    <row r="683" spans="1:43" s="464" customFormat="1" ht="31.5" customHeight="1">
      <c r="A683" s="491" t="s">
        <v>3551</v>
      </c>
      <c r="B683" s="468" t="s">
        <v>3566</v>
      </c>
      <c r="C683" s="445" t="s">
        <v>3556</v>
      </c>
      <c r="D683" s="420" t="s">
        <v>707</v>
      </c>
      <c r="E683" s="419" t="s">
        <v>229</v>
      </c>
      <c r="F683" s="419">
        <v>1</v>
      </c>
      <c r="G683" s="419"/>
      <c r="H683" s="421" t="s">
        <v>968</v>
      </c>
      <c r="I683" s="448" t="s">
        <v>1548</v>
      </c>
      <c r="J683" s="420" t="s">
        <v>2264</v>
      </c>
      <c r="K683" s="455" t="s">
        <v>2001</v>
      </c>
      <c r="L683" s="425">
        <v>1105.0029999999999</v>
      </c>
      <c r="M683" s="423">
        <v>0</v>
      </c>
      <c r="N683" s="431">
        <v>39547</v>
      </c>
      <c r="O683" s="425">
        <v>5248.7619999999997</v>
      </c>
      <c r="P683" s="868" t="s">
        <v>728</v>
      </c>
      <c r="Q683" s="1087">
        <f>4991.58</f>
        <v>4991.58</v>
      </c>
      <c r="R683" s="425"/>
      <c r="S683" s="425"/>
      <c r="T683" s="733">
        <v>41208</v>
      </c>
      <c r="U683" s="444">
        <v>41182</v>
      </c>
      <c r="V683" s="425">
        <v>4949.807958904109</v>
      </c>
      <c r="W683" s="400">
        <f t="shared" si="37"/>
        <v>1.008439123586754</v>
      </c>
      <c r="X683" s="543" t="s">
        <v>728</v>
      </c>
      <c r="Y683" s="419" t="s">
        <v>2896</v>
      </c>
      <c r="Z683" s="445" t="s">
        <v>2897</v>
      </c>
      <c r="AA683" s="496">
        <v>41220</v>
      </c>
      <c r="AB683" s="550"/>
      <c r="AC683" s="881">
        <v>41208</v>
      </c>
      <c r="AD683" s="444">
        <v>41207</v>
      </c>
      <c r="AE683" s="444"/>
      <c r="AF683" s="444"/>
      <c r="AG683" s="423"/>
      <c r="AH683" s="423">
        <v>0</v>
      </c>
      <c r="AI683" s="425"/>
      <c r="AJ683" s="736"/>
      <c r="AK683" s="423"/>
      <c r="AL683" s="423"/>
      <c r="AM683" s="423"/>
      <c r="AN683" s="423"/>
      <c r="AO683" s="419"/>
      <c r="AP683" s="463"/>
      <c r="AQ683" s="782"/>
    </row>
    <row r="684" spans="1:43" s="464" customFormat="1" ht="27.75" customHeight="1">
      <c r="A684" s="491" t="s">
        <v>3576</v>
      </c>
      <c r="B684" s="468" t="s">
        <v>3594</v>
      </c>
      <c r="C684" s="445" t="s">
        <v>3596</v>
      </c>
      <c r="D684" s="420" t="s">
        <v>707</v>
      </c>
      <c r="E684" s="419" t="s">
        <v>1113</v>
      </c>
      <c r="F684" s="419">
        <v>1</v>
      </c>
      <c r="G684" s="419"/>
      <c r="H684" s="421" t="s">
        <v>968</v>
      </c>
      <c r="I684" s="471" t="s">
        <v>1548</v>
      </c>
      <c r="J684" s="419" t="s">
        <v>235</v>
      </c>
      <c r="K684" s="455" t="s">
        <v>3391</v>
      </c>
      <c r="L684" s="425">
        <f>O684/5</f>
        <v>1030.9180000000001</v>
      </c>
      <c r="M684" s="423">
        <v>0</v>
      </c>
      <c r="N684" s="431">
        <v>39448</v>
      </c>
      <c r="O684" s="425">
        <v>5154.59</v>
      </c>
      <c r="P684" s="868" t="s">
        <v>728</v>
      </c>
      <c r="Q684" s="1087">
        <f>4470.802</f>
        <v>4470.8019999999997</v>
      </c>
      <c r="R684" s="425"/>
      <c r="S684" s="425"/>
      <c r="T684" s="733">
        <v>41222</v>
      </c>
      <c r="U684" s="444">
        <v>41182</v>
      </c>
      <c r="V684" s="425">
        <v>4897.5666082191783</v>
      </c>
      <c r="W684" s="400">
        <f t="shared" si="37"/>
        <v>0.91286190829891423</v>
      </c>
      <c r="X684" s="543" t="s">
        <v>728</v>
      </c>
      <c r="Y684" s="445" t="s">
        <v>2674</v>
      </c>
      <c r="Z684" s="507" t="s">
        <v>3597</v>
      </c>
      <c r="AA684" s="496">
        <v>41227</v>
      </c>
      <c r="AB684" s="550"/>
      <c r="AC684" s="881">
        <v>41201</v>
      </c>
      <c r="AD684" s="444">
        <v>41171</v>
      </c>
      <c r="AE684" s="444"/>
      <c r="AF684" s="444"/>
      <c r="AG684" s="423"/>
      <c r="AH684" s="423">
        <v>0</v>
      </c>
      <c r="AI684" s="425"/>
      <c r="AJ684" s="736"/>
      <c r="AK684" s="423"/>
      <c r="AL684" s="423"/>
      <c r="AM684" s="423"/>
      <c r="AN684" s="423"/>
      <c r="AO684" s="419"/>
      <c r="AP684" s="463"/>
      <c r="AQ684" s="782"/>
    </row>
    <row r="685" spans="1:43" s="464" customFormat="1" ht="27.75" customHeight="1">
      <c r="A685" s="491" t="s">
        <v>3577</v>
      </c>
      <c r="B685" s="468" t="s">
        <v>3595</v>
      </c>
      <c r="C685" s="445" t="s">
        <v>3598</v>
      </c>
      <c r="D685" s="420" t="s">
        <v>707</v>
      </c>
      <c r="E685" s="419" t="s">
        <v>2416</v>
      </c>
      <c r="F685" s="419">
        <v>1</v>
      </c>
      <c r="G685" s="419"/>
      <c r="H685" s="421" t="s">
        <v>968</v>
      </c>
      <c r="I685" s="471" t="s">
        <v>1548</v>
      </c>
      <c r="J685" s="419" t="s">
        <v>235</v>
      </c>
      <c r="K685" s="450" t="s">
        <v>3391</v>
      </c>
      <c r="L685" s="425">
        <f>O685/5</f>
        <v>558.22559999999999</v>
      </c>
      <c r="M685" s="423">
        <v>0</v>
      </c>
      <c r="N685" s="431">
        <v>39448</v>
      </c>
      <c r="O685" s="425">
        <v>2791.1280000000002</v>
      </c>
      <c r="P685" s="868" t="s">
        <v>728</v>
      </c>
      <c r="Q685" s="1087">
        <f>2606.536+113.717</f>
        <v>2720.2530000000002</v>
      </c>
      <c r="R685" s="425"/>
      <c r="S685" s="425"/>
      <c r="T685" s="733">
        <v>41220</v>
      </c>
      <c r="U685" s="444">
        <v>41274</v>
      </c>
      <c r="V685" s="425">
        <v>2792.6573852054794</v>
      </c>
      <c r="W685" s="400">
        <f t="shared" si="37"/>
        <v>0.97407330179883422</v>
      </c>
      <c r="X685" s="543" t="s">
        <v>728</v>
      </c>
      <c r="Y685" s="445" t="s">
        <v>2674</v>
      </c>
      <c r="Z685" s="507" t="s">
        <v>3599</v>
      </c>
      <c r="AA685" s="496">
        <v>41227</v>
      </c>
      <c r="AB685" s="550"/>
      <c r="AC685" s="881">
        <v>41213</v>
      </c>
      <c r="AD685" s="444">
        <v>41197</v>
      </c>
      <c r="AE685" s="444"/>
      <c r="AF685" s="444"/>
      <c r="AG685" s="423"/>
      <c r="AH685" s="423">
        <v>0</v>
      </c>
      <c r="AI685" s="425"/>
      <c r="AJ685" s="736"/>
      <c r="AK685" s="423"/>
      <c r="AL685" s="423"/>
      <c r="AM685" s="423"/>
      <c r="AN685" s="423"/>
      <c r="AO685" s="419"/>
      <c r="AP685" s="463"/>
      <c r="AQ685" s="782"/>
    </row>
    <row r="686" spans="1:43" s="464" customFormat="1" ht="27.75" customHeight="1">
      <c r="A686" s="491" t="s">
        <v>3570</v>
      </c>
      <c r="B686" s="468" t="s">
        <v>3581</v>
      </c>
      <c r="C686" s="445" t="s">
        <v>3587</v>
      </c>
      <c r="D686" s="420" t="s">
        <v>707</v>
      </c>
      <c r="E686" s="419" t="s">
        <v>1043</v>
      </c>
      <c r="F686" s="419">
        <v>1</v>
      </c>
      <c r="G686" s="419"/>
      <c r="H686" s="421" t="s">
        <v>968</v>
      </c>
      <c r="I686" s="455" t="s">
        <v>1059</v>
      </c>
      <c r="J686" s="552" t="s">
        <v>2954</v>
      </c>
      <c r="K686" s="450" t="s">
        <v>2001</v>
      </c>
      <c r="L686" s="425">
        <f>O686/5</f>
        <v>112.17260000000002</v>
      </c>
      <c r="M686" s="423">
        <v>35</v>
      </c>
      <c r="N686" s="431">
        <v>39448</v>
      </c>
      <c r="O686" s="425">
        <v>560.86300000000006</v>
      </c>
      <c r="P686" s="868" t="s">
        <v>728</v>
      </c>
      <c r="Q686" s="1087">
        <f>377.907+182.929</f>
        <v>560.83600000000001</v>
      </c>
      <c r="R686" s="425"/>
      <c r="S686" s="425"/>
      <c r="T686" s="733">
        <v>41214</v>
      </c>
      <c r="U686" s="444">
        <v>41213</v>
      </c>
      <c r="V686" s="425">
        <v>528.51299106774275</v>
      </c>
      <c r="W686" s="400">
        <f t="shared" si="37"/>
        <v>1.061158400036593</v>
      </c>
      <c r="X686" s="543" t="s">
        <v>728</v>
      </c>
      <c r="Y686" s="507" t="s">
        <v>3523</v>
      </c>
      <c r="Z686" s="507" t="s">
        <v>3526</v>
      </c>
      <c r="AA686" s="496">
        <v>41226</v>
      </c>
      <c r="AB686" s="550"/>
      <c r="AC686" s="881">
        <v>41115</v>
      </c>
      <c r="AD686" s="444">
        <v>41067</v>
      </c>
      <c r="AE686" s="444"/>
      <c r="AF686" s="444"/>
      <c r="AG686" s="423"/>
      <c r="AH686" s="423">
        <v>0</v>
      </c>
      <c r="AI686" s="425"/>
      <c r="AJ686" s="423">
        <f>6/Exch!B11</f>
        <v>7.1060309832425572</v>
      </c>
      <c r="AK686" s="423">
        <f>AJ686*1000/L686</f>
        <v>63.349079750692738</v>
      </c>
      <c r="AL686" s="423"/>
      <c r="AM686" s="423"/>
      <c r="AN686" s="423"/>
      <c r="AO686" s="419"/>
      <c r="AP686" s="463"/>
      <c r="AQ686" s="782"/>
    </row>
    <row r="687" spans="1:43" s="464" customFormat="1" ht="27.75" customHeight="1">
      <c r="A687" s="491" t="s">
        <v>3571</v>
      </c>
      <c r="B687" s="468" t="s">
        <v>3582</v>
      </c>
      <c r="C687" s="445" t="s">
        <v>3589</v>
      </c>
      <c r="D687" s="420" t="s">
        <v>707</v>
      </c>
      <c r="E687" s="419" t="s">
        <v>3590</v>
      </c>
      <c r="F687" s="419">
        <v>1</v>
      </c>
      <c r="G687" s="419"/>
      <c r="H687" s="421" t="s">
        <v>968</v>
      </c>
      <c r="I687" s="471" t="s">
        <v>1548</v>
      </c>
      <c r="J687" s="420" t="s">
        <v>235</v>
      </c>
      <c r="K687" s="450" t="s">
        <v>3391</v>
      </c>
      <c r="L687" s="425">
        <v>115.929</v>
      </c>
      <c r="M687" s="423">
        <v>0</v>
      </c>
      <c r="N687" s="431">
        <v>39448</v>
      </c>
      <c r="O687" s="425">
        <v>579.64700000000005</v>
      </c>
      <c r="P687" s="868" t="s">
        <v>728</v>
      </c>
      <c r="Q687" s="1087">
        <f>533.812</f>
        <v>533.81200000000001</v>
      </c>
      <c r="R687" s="425"/>
      <c r="S687" s="425"/>
      <c r="T687" s="733">
        <v>41222</v>
      </c>
      <c r="U687" s="444">
        <v>41182</v>
      </c>
      <c r="V687" s="425">
        <v>550.74215342465754</v>
      </c>
      <c r="W687" s="400">
        <f t="shared" si="37"/>
        <v>0.96925938332596939</v>
      </c>
      <c r="X687" s="543" t="s">
        <v>728</v>
      </c>
      <c r="Y687" s="445" t="s">
        <v>2674</v>
      </c>
      <c r="Z687" s="507" t="s">
        <v>3383</v>
      </c>
      <c r="AA687" s="496">
        <v>41226</v>
      </c>
      <c r="AB687" s="550"/>
      <c r="AC687" s="881">
        <v>41201</v>
      </c>
      <c r="AD687" s="444">
        <v>41173</v>
      </c>
      <c r="AE687" s="444"/>
      <c r="AF687" s="444"/>
      <c r="AG687" s="423"/>
      <c r="AH687" s="423">
        <v>0</v>
      </c>
      <c r="AI687" s="425"/>
      <c r="AJ687" s="736"/>
      <c r="AK687" s="423"/>
      <c r="AL687" s="423"/>
      <c r="AM687" s="423"/>
      <c r="AN687" s="423"/>
      <c r="AO687" s="419"/>
      <c r="AP687" s="463"/>
      <c r="AQ687" s="782"/>
    </row>
    <row r="688" spans="1:43" s="464" customFormat="1" ht="27.75" customHeight="1">
      <c r="A688" s="491" t="s">
        <v>3572</v>
      </c>
      <c r="B688" s="468" t="s">
        <v>3583</v>
      </c>
      <c r="C688" s="445" t="s">
        <v>3591</v>
      </c>
      <c r="D688" s="420" t="s">
        <v>707</v>
      </c>
      <c r="E688" s="419" t="s">
        <v>20</v>
      </c>
      <c r="F688" s="419">
        <v>1</v>
      </c>
      <c r="G688" s="419"/>
      <c r="H688" s="421" t="s">
        <v>968</v>
      </c>
      <c r="I688" s="471" t="s">
        <v>1548</v>
      </c>
      <c r="J688" s="420" t="s">
        <v>235</v>
      </c>
      <c r="K688" s="450" t="s">
        <v>3391</v>
      </c>
      <c r="L688" s="425">
        <f>O688/5</f>
        <v>811.53219999999999</v>
      </c>
      <c r="M688" s="423">
        <v>0</v>
      </c>
      <c r="N688" s="431">
        <v>39448</v>
      </c>
      <c r="O688" s="425">
        <v>4057.6610000000001</v>
      </c>
      <c r="P688" s="868" t="s">
        <v>728</v>
      </c>
      <c r="Q688" s="1087">
        <f>3834.504+145.79</f>
        <v>3980.2939999999999</v>
      </c>
      <c r="R688" s="425"/>
      <c r="S688" s="425"/>
      <c r="T688" s="733">
        <v>41222</v>
      </c>
      <c r="U688" s="444">
        <v>41274</v>
      </c>
      <c r="V688" s="425">
        <v>4059.8843758904109</v>
      </c>
      <c r="W688" s="400">
        <f t="shared" si="37"/>
        <v>0.98039590083819683</v>
      </c>
      <c r="X688" s="543" t="s">
        <v>728</v>
      </c>
      <c r="Y688" s="445" t="s">
        <v>2674</v>
      </c>
      <c r="Z688" s="507" t="s">
        <v>3383</v>
      </c>
      <c r="AA688" s="496">
        <v>41226</v>
      </c>
      <c r="AB688" s="550"/>
      <c r="AC688" s="881">
        <v>41213</v>
      </c>
      <c r="AD688" s="444">
        <v>41197</v>
      </c>
      <c r="AE688" s="444"/>
      <c r="AF688" s="444"/>
      <c r="AG688" s="423"/>
      <c r="AH688" s="423">
        <v>0</v>
      </c>
      <c r="AI688" s="425"/>
      <c r="AJ688" s="736"/>
      <c r="AK688" s="423"/>
      <c r="AL688" s="423"/>
      <c r="AM688" s="423"/>
      <c r="AN688" s="423"/>
      <c r="AO688" s="419"/>
      <c r="AP688" s="463"/>
      <c r="AQ688" s="782"/>
    </row>
    <row r="689" spans="1:43" s="464" customFormat="1" ht="27.75" customHeight="1">
      <c r="A689" s="491" t="s">
        <v>3573</v>
      </c>
      <c r="B689" s="468" t="s">
        <v>3584</v>
      </c>
      <c r="C689" s="445" t="s">
        <v>3592</v>
      </c>
      <c r="D689" s="420" t="s">
        <v>707</v>
      </c>
      <c r="E689" s="419" t="s">
        <v>1126</v>
      </c>
      <c r="F689" s="419">
        <v>1</v>
      </c>
      <c r="G689" s="419"/>
      <c r="H689" s="421" t="s">
        <v>968</v>
      </c>
      <c r="I689" s="471" t="s">
        <v>1548</v>
      </c>
      <c r="J689" s="419" t="s">
        <v>235</v>
      </c>
      <c r="K689" s="450" t="s">
        <v>3391</v>
      </c>
      <c r="L689" s="425">
        <f>O689/5</f>
        <v>1129.9232</v>
      </c>
      <c r="M689" s="423">
        <v>0</v>
      </c>
      <c r="N689" s="431">
        <v>39448</v>
      </c>
      <c r="O689" s="425">
        <v>5649.616</v>
      </c>
      <c r="P689" s="868" t="s">
        <v>728</v>
      </c>
      <c r="Q689" s="1087">
        <f>3165.06+2484.556+161.431</f>
        <v>5811.0469999999996</v>
      </c>
      <c r="R689" s="425"/>
      <c r="S689" s="425"/>
      <c r="T689" s="733">
        <v>41222</v>
      </c>
      <c r="U689" s="444">
        <v>41274</v>
      </c>
      <c r="V689" s="425">
        <v>5652.7116799999994</v>
      </c>
      <c r="W689" s="400">
        <f t="shared" si="37"/>
        <v>1.0280105069855607</v>
      </c>
      <c r="X689" s="543" t="s">
        <v>728</v>
      </c>
      <c r="Y689" s="445" t="s">
        <v>2112</v>
      </c>
      <c r="Z689" s="419" t="s">
        <v>2646</v>
      </c>
      <c r="AA689" s="496">
        <v>41226</v>
      </c>
      <c r="AB689" s="550"/>
      <c r="AC689" s="881">
        <v>41193</v>
      </c>
      <c r="AD689" s="444">
        <v>41178</v>
      </c>
      <c r="AE689" s="444"/>
      <c r="AF689" s="444"/>
      <c r="AG689" s="423"/>
      <c r="AH689" s="423">
        <v>0</v>
      </c>
      <c r="AI689" s="425"/>
      <c r="AJ689" s="736"/>
      <c r="AK689" s="423"/>
      <c r="AL689" s="423"/>
      <c r="AM689" s="423"/>
      <c r="AN689" s="423"/>
      <c r="AO689" s="419"/>
      <c r="AP689" s="463"/>
      <c r="AQ689" s="782"/>
    </row>
    <row r="690" spans="1:43" s="464" customFormat="1" ht="27.75" customHeight="1">
      <c r="A690" s="491" t="s">
        <v>3574</v>
      </c>
      <c r="B690" s="468" t="s">
        <v>3585</v>
      </c>
      <c r="C690" s="445" t="s">
        <v>3588</v>
      </c>
      <c r="D690" s="420" t="s">
        <v>707</v>
      </c>
      <c r="E690" s="419" t="s">
        <v>20</v>
      </c>
      <c r="F690" s="419">
        <v>1</v>
      </c>
      <c r="G690" s="419"/>
      <c r="H690" s="421" t="s">
        <v>968</v>
      </c>
      <c r="I690" s="455" t="s">
        <v>1059</v>
      </c>
      <c r="J690" s="552" t="s">
        <v>2954</v>
      </c>
      <c r="K690" s="450" t="s">
        <v>2001</v>
      </c>
      <c r="L690" s="425">
        <f>O690/5</f>
        <v>60.340200000000003</v>
      </c>
      <c r="M690" s="423">
        <v>15</v>
      </c>
      <c r="N690" s="431">
        <v>39448</v>
      </c>
      <c r="O690" s="425">
        <v>301.70100000000002</v>
      </c>
      <c r="P690" s="868" t="s">
        <v>728</v>
      </c>
      <c r="Q690" s="1087">
        <f>310.701</f>
        <v>310.70100000000002</v>
      </c>
      <c r="R690" s="425"/>
      <c r="S690" s="425"/>
      <c r="T690" s="733">
        <v>41219</v>
      </c>
      <c r="U690" s="444">
        <v>41213</v>
      </c>
      <c r="V690" s="425">
        <v>285.82034411709515</v>
      </c>
      <c r="W690" s="400">
        <f t="shared" si="37"/>
        <v>1.087049982252879</v>
      </c>
      <c r="X690" s="543" t="s">
        <v>728</v>
      </c>
      <c r="Y690" s="507" t="s">
        <v>3523</v>
      </c>
      <c r="Z690" s="507" t="s">
        <v>3526</v>
      </c>
      <c r="AA690" s="496">
        <v>41226</v>
      </c>
      <c r="AB690" s="550"/>
      <c r="AC690" s="881">
        <v>41213</v>
      </c>
      <c r="AD690" s="444">
        <v>41178</v>
      </c>
      <c r="AE690" s="444"/>
      <c r="AF690" s="444"/>
      <c r="AG690" s="423"/>
      <c r="AH690" s="423">
        <v>0</v>
      </c>
      <c r="AI690" s="425"/>
      <c r="AJ690" s="736"/>
      <c r="AK690" s="423"/>
      <c r="AL690" s="423"/>
      <c r="AM690" s="423"/>
      <c r="AN690" s="423"/>
      <c r="AO690" s="419"/>
      <c r="AP690" s="463"/>
      <c r="AQ690" s="782"/>
    </row>
    <row r="691" spans="1:43" s="464" customFormat="1" ht="27.75" customHeight="1">
      <c r="A691" s="491" t="s">
        <v>3575</v>
      </c>
      <c r="B691" s="468" t="s">
        <v>3586</v>
      </c>
      <c r="C691" s="445" t="s">
        <v>3593</v>
      </c>
      <c r="D691" s="420" t="s">
        <v>707</v>
      </c>
      <c r="E691" s="419" t="s">
        <v>1627</v>
      </c>
      <c r="F691" s="419">
        <v>1</v>
      </c>
      <c r="G691" s="419"/>
      <c r="H691" s="421" t="s">
        <v>968</v>
      </c>
      <c r="I691" s="455" t="s">
        <v>719</v>
      </c>
      <c r="J691" s="449" t="s">
        <v>2795</v>
      </c>
      <c r="K691" s="450" t="s">
        <v>2001</v>
      </c>
      <c r="L691" s="425">
        <v>1178.3720000000001</v>
      </c>
      <c r="M691" s="423">
        <v>0</v>
      </c>
      <c r="N691" s="431">
        <v>39489</v>
      </c>
      <c r="O691" s="425">
        <v>5793.6639999999998</v>
      </c>
      <c r="P691" s="868" t="s">
        <v>728</v>
      </c>
      <c r="Q691" s="1087">
        <f>5275.947+2702.368+3852.198</f>
        <v>11830.513000000001</v>
      </c>
      <c r="R691" s="425"/>
      <c r="S691" s="425"/>
      <c r="T691" s="733">
        <v>41258</v>
      </c>
      <c r="U691" s="444">
        <v>41274</v>
      </c>
      <c r="V691" s="425">
        <v>5762.7233424657534</v>
      </c>
      <c r="W691" s="400">
        <f t="shared" si="37"/>
        <v>2.0529378727624223</v>
      </c>
      <c r="X691" s="543" t="s">
        <v>728</v>
      </c>
      <c r="Y691" s="445" t="s">
        <v>2674</v>
      </c>
      <c r="Z691" s="507" t="s">
        <v>3383</v>
      </c>
      <c r="AA691" s="496">
        <v>41226</v>
      </c>
      <c r="AB691" s="550"/>
      <c r="AC691" s="881">
        <v>41201</v>
      </c>
      <c r="AD691" s="444">
        <v>41186</v>
      </c>
      <c r="AE691" s="444"/>
      <c r="AF691" s="444"/>
      <c r="AG691" s="423"/>
      <c r="AH691" s="423">
        <v>0</v>
      </c>
      <c r="AI691" s="425"/>
      <c r="AJ691" s="736"/>
      <c r="AK691" s="423"/>
      <c r="AL691" s="423"/>
      <c r="AM691" s="736"/>
      <c r="AN691" s="423"/>
      <c r="AO691" s="419"/>
      <c r="AP691" s="463"/>
      <c r="AQ691" s="782"/>
    </row>
    <row r="692" spans="1:43" s="464" customFormat="1" ht="27.75" customHeight="1">
      <c r="A692" s="491" t="s">
        <v>2437</v>
      </c>
      <c r="B692" s="468" t="s">
        <v>3609</v>
      </c>
      <c r="C692" s="445" t="s">
        <v>3458</v>
      </c>
      <c r="D692" s="420" t="s">
        <v>707</v>
      </c>
      <c r="E692" s="419" t="s">
        <v>226</v>
      </c>
      <c r="F692" s="419">
        <v>1</v>
      </c>
      <c r="G692" s="445" t="s">
        <v>3501</v>
      </c>
      <c r="H692" s="421" t="s">
        <v>968</v>
      </c>
      <c r="I692" s="448" t="s">
        <v>1082</v>
      </c>
      <c r="J692" s="420" t="s">
        <v>687</v>
      </c>
      <c r="K692" s="450" t="s">
        <v>1289</v>
      </c>
      <c r="L692" s="423">
        <v>21.52</v>
      </c>
      <c r="M692" s="423">
        <v>2</v>
      </c>
      <c r="N692" s="431">
        <v>40080</v>
      </c>
      <c r="O692" s="425">
        <v>69.938999999999993</v>
      </c>
      <c r="P692" s="868" t="s">
        <v>728</v>
      </c>
      <c r="Q692" s="1087">
        <f>68.799</f>
        <v>68.799000000000007</v>
      </c>
      <c r="R692" s="419"/>
      <c r="S692" s="419"/>
      <c r="T692" s="733">
        <v>41388</v>
      </c>
      <c r="U692" s="444">
        <v>41274</v>
      </c>
      <c r="V692" s="425">
        <v>64.741731656971297</v>
      </c>
      <c r="W692" s="400">
        <f t="shared" si="37"/>
        <v>1.0626685174954202</v>
      </c>
      <c r="X692" s="543" t="s">
        <v>728</v>
      </c>
      <c r="Y692" s="419" t="s">
        <v>2496</v>
      </c>
      <c r="Z692" s="419" t="s">
        <v>202</v>
      </c>
      <c r="AA692" s="444">
        <v>40660</v>
      </c>
      <c r="AB692" s="550">
        <v>41198</v>
      </c>
      <c r="AC692" s="881">
        <v>41166</v>
      </c>
      <c r="AD692" s="444">
        <v>40918</v>
      </c>
      <c r="AE692" s="444"/>
      <c r="AF692" s="444"/>
      <c r="AG692" s="423"/>
      <c r="AH692" s="423">
        <v>0</v>
      </c>
      <c r="AI692" s="425"/>
      <c r="AJ692" s="736"/>
      <c r="AK692" s="423"/>
      <c r="AL692" s="423"/>
      <c r="AM692" s="423"/>
      <c r="AN692" s="423"/>
      <c r="AO692" s="419"/>
      <c r="AP692" s="463"/>
      <c r="AQ692" s="782"/>
    </row>
    <row r="693" spans="1:43" s="464" customFormat="1" ht="15.75" customHeight="1">
      <c r="A693" s="491" t="s">
        <v>3605</v>
      </c>
      <c r="B693" s="468" t="s">
        <v>3612</v>
      </c>
      <c r="C693" s="445" t="s">
        <v>3611</v>
      </c>
      <c r="D693" s="420" t="s">
        <v>707</v>
      </c>
      <c r="E693" s="419" t="s">
        <v>20</v>
      </c>
      <c r="F693" s="419">
        <v>1</v>
      </c>
      <c r="G693" s="419"/>
      <c r="H693" s="421" t="s">
        <v>968</v>
      </c>
      <c r="I693" s="471" t="s">
        <v>1548</v>
      </c>
      <c r="J693" s="419" t="s">
        <v>235</v>
      </c>
      <c r="K693" s="450" t="s">
        <v>2001</v>
      </c>
      <c r="L693" s="425">
        <f t="shared" ref="L693:L699" si="38">O693/5</f>
        <v>1851.3245999999999</v>
      </c>
      <c r="M693" s="423">
        <v>0</v>
      </c>
      <c r="N693" s="431">
        <v>39448</v>
      </c>
      <c r="O693" s="425">
        <v>9256.6229999999996</v>
      </c>
      <c r="P693" s="868" t="s">
        <v>728</v>
      </c>
      <c r="Q693" s="1087">
        <f>9131.951+351.509</f>
        <v>9483.4599999999991</v>
      </c>
      <c r="R693" s="425"/>
      <c r="S693" s="425"/>
      <c r="T693" s="733">
        <v>41239</v>
      </c>
      <c r="U693" s="444">
        <v>41274</v>
      </c>
      <c r="V693" s="425">
        <v>9261.6951221917807</v>
      </c>
      <c r="W693" s="400">
        <f t="shared" si="37"/>
        <v>1.0239443076977184</v>
      </c>
      <c r="X693" s="543" t="s">
        <v>728</v>
      </c>
      <c r="Y693" s="445" t="s">
        <v>2674</v>
      </c>
      <c r="Z693" s="507" t="s">
        <v>3613</v>
      </c>
      <c r="AA693" s="496">
        <v>41236</v>
      </c>
      <c r="AB693" s="550"/>
      <c r="AC693" s="881">
        <v>41229</v>
      </c>
      <c r="AD693" s="444">
        <v>41201</v>
      </c>
      <c r="AE693" s="444"/>
      <c r="AF693" s="444"/>
      <c r="AG693" s="423"/>
      <c r="AH693" s="423">
        <v>0</v>
      </c>
      <c r="AI693" s="425"/>
      <c r="AJ693" s="736"/>
      <c r="AK693" s="423"/>
      <c r="AL693" s="423"/>
      <c r="AM693" s="423"/>
      <c r="AN693" s="423"/>
      <c r="AO693" s="419"/>
      <c r="AP693" s="463"/>
      <c r="AQ693" s="782"/>
    </row>
    <row r="694" spans="1:43" s="464" customFormat="1" ht="15" customHeight="1">
      <c r="A694" s="491" t="s">
        <v>3600</v>
      </c>
      <c r="B694" s="468" t="s">
        <v>3607</v>
      </c>
      <c r="C694" s="445" t="s">
        <v>3608</v>
      </c>
      <c r="D694" s="420" t="s">
        <v>707</v>
      </c>
      <c r="E694" s="419" t="s">
        <v>1043</v>
      </c>
      <c r="F694" s="419">
        <v>1</v>
      </c>
      <c r="G694" s="419"/>
      <c r="H694" s="421" t="s">
        <v>968</v>
      </c>
      <c r="I694" s="455" t="s">
        <v>1735</v>
      </c>
      <c r="J694" s="507" t="s">
        <v>1946</v>
      </c>
      <c r="K694" s="455" t="s">
        <v>743</v>
      </c>
      <c r="L694" s="425">
        <f t="shared" si="38"/>
        <v>509.49080000000004</v>
      </c>
      <c r="M694" s="423">
        <v>50</v>
      </c>
      <c r="N694" s="431">
        <v>39448</v>
      </c>
      <c r="O694" s="425">
        <v>2547.4540000000002</v>
      </c>
      <c r="P694" s="868" t="s">
        <v>728</v>
      </c>
      <c r="Q694" s="1087">
        <f>1886.036+590.462</f>
        <v>2476.498</v>
      </c>
      <c r="R694" s="425"/>
      <c r="S694" s="425"/>
      <c r="T694" s="733">
        <v>41232</v>
      </c>
      <c r="U694" s="444">
        <v>41274</v>
      </c>
      <c r="V694" s="425">
        <v>2549.1925186113722</v>
      </c>
      <c r="W694" s="400">
        <f t="shared" si="37"/>
        <v>0.9714833155673267</v>
      </c>
      <c r="X694" s="543" t="s">
        <v>728</v>
      </c>
      <c r="Y694" s="445" t="s">
        <v>2674</v>
      </c>
      <c r="Z694" s="934" t="s">
        <v>3383</v>
      </c>
      <c r="AA694" s="496">
        <v>41235</v>
      </c>
      <c r="AB694" s="550"/>
      <c r="AC694" s="881">
        <v>41226</v>
      </c>
      <c r="AD694" s="444">
        <v>41193</v>
      </c>
      <c r="AE694" s="444"/>
      <c r="AF694" s="444"/>
      <c r="AG694" s="423"/>
      <c r="AH694" s="423">
        <v>0</v>
      </c>
      <c r="AI694" s="425"/>
      <c r="AJ694" s="736"/>
      <c r="AK694" s="423"/>
      <c r="AL694" s="423"/>
      <c r="AM694" s="423"/>
      <c r="AN694" s="423"/>
      <c r="AO694" s="419"/>
      <c r="AP694" s="463"/>
      <c r="AQ694" s="782"/>
    </row>
    <row r="695" spans="1:43" s="464" customFormat="1" ht="15.75" customHeight="1">
      <c r="A695" s="491" t="s">
        <v>3579</v>
      </c>
      <c r="B695" s="468" t="s">
        <v>3622</v>
      </c>
      <c r="C695" s="445" t="s">
        <v>3604</v>
      </c>
      <c r="D695" s="420" t="s">
        <v>707</v>
      </c>
      <c r="E695" s="419" t="s">
        <v>2416</v>
      </c>
      <c r="F695" s="419">
        <v>1</v>
      </c>
      <c r="G695" s="419"/>
      <c r="H695" s="421" t="s">
        <v>968</v>
      </c>
      <c r="I695" s="455" t="s">
        <v>1467</v>
      </c>
      <c r="J695" s="445" t="s">
        <v>2584</v>
      </c>
      <c r="K695" s="450" t="s">
        <v>2001</v>
      </c>
      <c r="L695" s="425">
        <f t="shared" si="38"/>
        <v>1084.7883999999999</v>
      </c>
      <c r="M695" s="423">
        <v>0</v>
      </c>
      <c r="N695" s="431">
        <v>39448</v>
      </c>
      <c r="O695" s="425">
        <v>5423.942</v>
      </c>
      <c r="P695" s="868" t="s">
        <v>728</v>
      </c>
      <c r="Q695" s="1087">
        <v>6501.4049999999997</v>
      </c>
      <c r="R695" s="425"/>
      <c r="S695" s="425"/>
      <c r="T695" s="733">
        <v>41339</v>
      </c>
      <c r="U695" s="444">
        <v>41274</v>
      </c>
      <c r="V695" s="425">
        <v>5426.9140230136982</v>
      </c>
      <c r="W695" s="400">
        <f t="shared" si="37"/>
        <v>1.1979929979413255</v>
      </c>
      <c r="X695" s="543" t="s">
        <v>728</v>
      </c>
      <c r="Y695" s="445" t="s">
        <v>2887</v>
      </c>
      <c r="Z695" s="445" t="s">
        <v>2889</v>
      </c>
      <c r="AA695" s="496">
        <v>41232</v>
      </c>
      <c r="AB695" s="550"/>
      <c r="AC695" s="881">
        <v>41002</v>
      </c>
      <c r="AD695" s="444">
        <v>40848</v>
      </c>
      <c r="AE695" s="444"/>
      <c r="AF695" s="444"/>
      <c r="AG695" s="423"/>
      <c r="AH695" s="423">
        <v>0</v>
      </c>
      <c r="AI695" s="425"/>
      <c r="AJ695" s="736"/>
      <c r="AK695" s="423"/>
      <c r="AL695" s="423"/>
      <c r="AM695" s="423">
        <v>994.61900000000003</v>
      </c>
      <c r="AN695" s="423"/>
      <c r="AO695" s="419"/>
      <c r="AP695" s="463"/>
      <c r="AQ695" s="782"/>
    </row>
    <row r="696" spans="1:43" s="464" customFormat="1" ht="30" customHeight="1">
      <c r="A696" s="491" t="s">
        <v>3580</v>
      </c>
      <c r="B696" s="468" t="s">
        <v>3658</v>
      </c>
      <c r="C696" s="445" t="s">
        <v>3606</v>
      </c>
      <c r="D696" s="420" t="s">
        <v>707</v>
      </c>
      <c r="E696" s="419" t="s">
        <v>1998</v>
      </c>
      <c r="F696" s="419">
        <v>1</v>
      </c>
      <c r="G696" s="419"/>
      <c r="H696" s="421" t="s">
        <v>968</v>
      </c>
      <c r="I696" s="455" t="s">
        <v>1735</v>
      </c>
      <c r="J696" s="507" t="s">
        <v>1946</v>
      </c>
      <c r="K696" s="450" t="s">
        <v>743</v>
      </c>
      <c r="L696" s="425">
        <f t="shared" si="38"/>
        <v>1821.7444</v>
      </c>
      <c r="M696" s="423">
        <v>0</v>
      </c>
      <c r="N696" s="431">
        <v>39448</v>
      </c>
      <c r="O696" s="425">
        <v>9108.7219999999998</v>
      </c>
      <c r="P696" s="868" t="s">
        <v>728</v>
      </c>
      <c r="Q696" s="1087">
        <f>6982.77</f>
        <v>6982.77</v>
      </c>
      <c r="R696" s="425"/>
      <c r="S696" s="425"/>
      <c r="T696" s="894">
        <v>41222</v>
      </c>
      <c r="U696" s="444">
        <v>40908</v>
      </c>
      <c r="V696" s="425">
        <v>7286.9776000000002</v>
      </c>
      <c r="W696" s="400">
        <f t="shared" si="37"/>
        <v>0.95825325440824738</v>
      </c>
      <c r="X696" s="543" t="s">
        <v>728</v>
      </c>
      <c r="Y696" s="445" t="s">
        <v>2674</v>
      </c>
      <c r="Z696" s="507" t="s">
        <v>3383</v>
      </c>
      <c r="AA696" s="496">
        <v>41235</v>
      </c>
      <c r="AB696" s="550"/>
      <c r="AC696" s="881">
        <v>41226</v>
      </c>
      <c r="AD696" s="444">
        <v>41194</v>
      </c>
      <c r="AE696" s="444"/>
      <c r="AF696" s="444"/>
      <c r="AG696" s="423"/>
      <c r="AH696" s="423">
        <v>0</v>
      </c>
      <c r="AI696" s="425"/>
      <c r="AJ696" s="736"/>
      <c r="AK696" s="423"/>
      <c r="AL696" s="423"/>
      <c r="AM696" s="423"/>
      <c r="AN696" s="423"/>
      <c r="AO696" s="419"/>
      <c r="AP696" s="463"/>
      <c r="AQ696" s="782"/>
    </row>
    <row r="697" spans="1:43" s="464" customFormat="1" ht="27.75" customHeight="1">
      <c r="A697" s="491" t="s">
        <v>3618</v>
      </c>
      <c r="B697" s="468" t="s">
        <v>3659</v>
      </c>
      <c r="C697" s="445" t="s">
        <v>3615</v>
      </c>
      <c r="D697" s="420" t="s">
        <v>707</v>
      </c>
      <c r="E697" s="419" t="s">
        <v>3319</v>
      </c>
      <c r="F697" s="419">
        <v>1</v>
      </c>
      <c r="G697" s="419"/>
      <c r="H697" s="421" t="s">
        <v>968</v>
      </c>
      <c r="I697" s="471" t="s">
        <v>1548</v>
      </c>
      <c r="J697" s="419" t="s">
        <v>235</v>
      </c>
      <c r="K697" s="450" t="s">
        <v>2001</v>
      </c>
      <c r="L697" s="425">
        <f t="shared" si="38"/>
        <v>645.78160000000003</v>
      </c>
      <c r="M697" s="423">
        <v>0</v>
      </c>
      <c r="N697" s="431">
        <v>39448</v>
      </c>
      <c r="O697" s="425">
        <v>3228.9079999999999</v>
      </c>
      <c r="P697" s="868" t="s">
        <v>728</v>
      </c>
      <c r="Q697" s="1087">
        <v>2936.1289999999999</v>
      </c>
      <c r="R697" s="425"/>
      <c r="S697" s="425"/>
      <c r="T697" s="894">
        <v>41222</v>
      </c>
      <c r="U697" s="444">
        <v>41213</v>
      </c>
      <c r="V697" s="425">
        <v>3122.7521205479457</v>
      </c>
      <c r="W697" s="400">
        <f t="shared" si="37"/>
        <v>0.94023761305934228</v>
      </c>
      <c r="X697" s="543" t="s">
        <v>728</v>
      </c>
      <c r="Y697" s="445" t="s">
        <v>2674</v>
      </c>
      <c r="Z697" s="507" t="s">
        <v>3616</v>
      </c>
      <c r="AA697" s="496">
        <v>41240</v>
      </c>
      <c r="AB697" s="550"/>
      <c r="AC697" s="881">
        <v>41211</v>
      </c>
      <c r="AD697" s="444">
        <v>41194</v>
      </c>
      <c r="AE697" s="444"/>
      <c r="AF697" s="444"/>
      <c r="AG697" s="423"/>
      <c r="AH697" s="423">
        <v>0</v>
      </c>
      <c r="AI697" s="425"/>
      <c r="AJ697" s="736"/>
      <c r="AK697" s="423"/>
      <c r="AL697" s="423"/>
      <c r="AM697" s="423"/>
      <c r="AN697" s="423"/>
      <c r="AO697" s="419"/>
      <c r="AP697" s="463"/>
      <c r="AQ697" s="782"/>
    </row>
    <row r="698" spans="1:43" s="464" customFormat="1" ht="27.75" customHeight="1">
      <c r="A698" s="491" t="s">
        <v>3663</v>
      </c>
      <c r="B698" s="467" t="s">
        <v>3661</v>
      </c>
      <c r="C698" s="445" t="s">
        <v>3662</v>
      </c>
      <c r="D698" s="420" t="s">
        <v>707</v>
      </c>
      <c r="E698" s="445" t="s">
        <v>2912</v>
      </c>
      <c r="F698" s="419">
        <v>1</v>
      </c>
      <c r="G698" s="419"/>
      <c r="H698" s="421" t="s">
        <v>968</v>
      </c>
      <c r="I698" s="471" t="s">
        <v>1548</v>
      </c>
      <c r="J698" s="420" t="s">
        <v>235</v>
      </c>
      <c r="K698" s="450" t="s">
        <v>882</v>
      </c>
      <c r="L698" s="425">
        <f t="shared" si="38"/>
        <v>422.19780000000003</v>
      </c>
      <c r="M698" s="423">
        <v>0</v>
      </c>
      <c r="N698" s="431">
        <v>39448</v>
      </c>
      <c r="O698" s="425">
        <v>2110.989</v>
      </c>
      <c r="P698" s="868" t="s">
        <v>728</v>
      </c>
      <c r="Q698" s="1087">
        <f>1683.79</f>
        <v>1683.79</v>
      </c>
      <c r="R698" s="425"/>
      <c r="S698" s="425"/>
      <c r="T698" s="894">
        <v>41242</v>
      </c>
      <c r="U698" s="444">
        <v>40908</v>
      </c>
      <c r="V698" s="425">
        <v>1688.7912000000001</v>
      </c>
      <c r="W698" s="400">
        <f t="shared" si="37"/>
        <v>0.99703859186381349</v>
      </c>
      <c r="X698" s="543" t="s">
        <v>728</v>
      </c>
      <c r="Y698" s="445" t="s">
        <v>2674</v>
      </c>
      <c r="Z698" s="507" t="s">
        <v>3395</v>
      </c>
      <c r="AA698" s="496">
        <v>41242</v>
      </c>
      <c r="AB698" s="550"/>
      <c r="AC698" s="881">
        <v>41236</v>
      </c>
      <c r="AD698" s="444">
        <v>41207</v>
      </c>
      <c r="AE698" s="444"/>
      <c r="AF698" s="444"/>
      <c r="AG698" s="423"/>
      <c r="AH698" s="423">
        <v>0</v>
      </c>
      <c r="AI698" s="425"/>
      <c r="AJ698" s="736"/>
      <c r="AK698" s="423"/>
      <c r="AL698" s="423"/>
      <c r="AM698" s="423"/>
      <c r="AN698" s="423"/>
      <c r="AO698" s="419"/>
      <c r="AP698" s="463"/>
      <c r="AQ698" s="782"/>
    </row>
    <row r="699" spans="1:43" s="464" customFormat="1" ht="27.75" customHeight="1">
      <c r="A699" s="491" t="s">
        <v>3664</v>
      </c>
      <c r="B699" s="467" t="s">
        <v>3669</v>
      </c>
      <c r="C699" s="445" t="s">
        <v>3668</v>
      </c>
      <c r="D699" s="420" t="s">
        <v>707</v>
      </c>
      <c r="E699" s="419" t="s">
        <v>3390</v>
      </c>
      <c r="F699" s="419">
        <v>1</v>
      </c>
      <c r="G699" s="419"/>
      <c r="H699" s="421" t="s">
        <v>968</v>
      </c>
      <c r="I699" s="471" t="s">
        <v>1548</v>
      </c>
      <c r="J699" s="419" t="s">
        <v>235</v>
      </c>
      <c r="K699" s="450" t="s">
        <v>882</v>
      </c>
      <c r="L699" s="425">
        <f t="shared" si="38"/>
        <v>657.12560000000008</v>
      </c>
      <c r="M699" s="423">
        <v>0</v>
      </c>
      <c r="N699" s="431">
        <v>39448</v>
      </c>
      <c r="O699" s="425">
        <v>3285.6280000000002</v>
      </c>
      <c r="P699" s="868" t="s">
        <v>728</v>
      </c>
      <c r="Q699" s="1087">
        <v>2634.114</v>
      </c>
      <c r="R699" s="425"/>
      <c r="S699" s="425"/>
      <c r="T699" s="894">
        <v>41241</v>
      </c>
      <c r="U699" s="444">
        <v>40908</v>
      </c>
      <c r="V699" s="425">
        <v>2628.5024000000003</v>
      </c>
      <c r="W699" s="400">
        <f t="shared" si="37"/>
        <v>1.0021349038905194</v>
      </c>
      <c r="X699" s="543" t="s">
        <v>728</v>
      </c>
      <c r="Y699" s="445" t="s">
        <v>2674</v>
      </c>
      <c r="Z699" s="507" t="s">
        <v>3670</v>
      </c>
      <c r="AA699" s="496">
        <v>41242</v>
      </c>
      <c r="AB699" s="550"/>
      <c r="AC699" s="881">
        <v>41235</v>
      </c>
      <c r="AD699" s="444">
        <v>41193</v>
      </c>
      <c r="AE699" s="444"/>
      <c r="AF699" s="444"/>
      <c r="AG699" s="423"/>
      <c r="AH699" s="423">
        <v>0</v>
      </c>
      <c r="AI699" s="425"/>
      <c r="AJ699" s="736"/>
      <c r="AK699" s="423"/>
      <c r="AL699" s="423"/>
      <c r="AM699" s="423"/>
      <c r="AN699" s="423"/>
      <c r="AO699" s="419"/>
      <c r="AP699" s="463"/>
      <c r="AQ699" s="782"/>
    </row>
    <row r="700" spans="1:43" s="464" customFormat="1" ht="28.5" customHeight="1">
      <c r="A700" s="491" t="s">
        <v>3623</v>
      </c>
      <c r="B700" s="467" t="s">
        <v>3660</v>
      </c>
      <c r="C700" s="445" t="s">
        <v>3629</v>
      </c>
      <c r="D700" s="420" t="s">
        <v>707</v>
      </c>
      <c r="E700" s="419" t="s">
        <v>1562</v>
      </c>
      <c r="F700" s="419">
        <v>1</v>
      </c>
      <c r="G700" s="419"/>
      <c r="H700" s="421" t="s">
        <v>968</v>
      </c>
      <c r="I700" s="448" t="s">
        <v>1548</v>
      </c>
      <c r="J700" s="420" t="s">
        <v>2264</v>
      </c>
      <c r="K700" s="450" t="s">
        <v>2001</v>
      </c>
      <c r="L700" s="425">
        <v>328.40600000000001</v>
      </c>
      <c r="M700" s="423">
        <v>0</v>
      </c>
      <c r="N700" s="431">
        <v>39479</v>
      </c>
      <c r="O700" s="425">
        <v>1614.665</v>
      </c>
      <c r="P700" s="868" t="s">
        <v>896</v>
      </c>
      <c r="Q700" s="1087">
        <v>1539.606</v>
      </c>
      <c r="R700" s="425"/>
      <c r="S700" s="425"/>
      <c r="T700" s="733">
        <v>41249</v>
      </c>
      <c r="U700" s="444">
        <v>41182</v>
      </c>
      <c r="V700" s="425">
        <v>1532.2614191780824</v>
      </c>
      <c r="W700" s="400">
        <f t="shared" si="37"/>
        <v>1.0047932948842746</v>
      </c>
      <c r="X700" s="543" t="s">
        <v>728</v>
      </c>
      <c r="Y700" s="419" t="s">
        <v>3630</v>
      </c>
      <c r="Z700" s="445" t="s">
        <v>3631</v>
      </c>
      <c r="AA700" s="496">
        <v>41241</v>
      </c>
      <c r="AB700" s="550"/>
      <c r="AC700" s="881">
        <v>41226</v>
      </c>
      <c r="AD700" s="444">
        <v>41179</v>
      </c>
      <c r="AE700" s="444"/>
      <c r="AF700" s="444"/>
      <c r="AG700" s="423"/>
      <c r="AH700" s="423">
        <v>0</v>
      </c>
      <c r="AI700" s="425"/>
      <c r="AJ700" s="736"/>
      <c r="AK700" s="423"/>
      <c r="AL700" s="423"/>
      <c r="AM700" s="423"/>
      <c r="AN700" s="423"/>
      <c r="AO700" s="419"/>
      <c r="AP700" s="463"/>
      <c r="AQ700" s="782"/>
    </row>
    <row r="701" spans="1:43" s="464" customFormat="1" ht="27.75" customHeight="1">
      <c r="A701" s="491" t="s">
        <v>3665</v>
      </c>
      <c r="B701" s="467" t="s">
        <v>3672</v>
      </c>
      <c r="C701" s="445" t="s">
        <v>3671</v>
      </c>
      <c r="D701" s="420" t="s">
        <v>707</v>
      </c>
      <c r="E701" s="419" t="s">
        <v>1562</v>
      </c>
      <c r="F701" s="419">
        <v>1</v>
      </c>
      <c r="G701" s="419"/>
      <c r="H701" s="421" t="s">
        <v>968</v>
      </c>
      <c r="I701" s="448" t="s">
        <v>1548</v>
      </c>
      <c r="J701" s="420" t="s">
        <v>2264</v>
      </c>
      <c r="K701" s="450" t="s">
        <v>2001</v>
      </c>
      <c r="L701" s="425">
        <v>515.875</v>
      </c>
      <c r="M701" s="423">
        <v>0</v>
      </c>
      <c r="N701" s="431">
        <v>39873</v>
      </c>
      <c r="O701" s="425">
        <v>1977.5219999999999</v>
      </c>
      <c r="P701" s="868" t="s">
        <v>896</v>
      </c>
      <c r="Q701" s="1087">
        <v>1900.402</v>
      </c>
      <c r="R701" s="425"/>
      <c r="S701" s="425"/>
      <c r="T701" s="733">
        <v>41249</v>
      </c>
      <c r="U701" s="444">
        <v>41213</v>
      </c>
      <c r="V701" s="425">
        <v>1893.8972602739725</v>
      </c>
      <c r="W701" s="400">
        <f t="shared" si="37"/>
        <v>1.0034345789829626</v>
      </c>
      <c r="X701" s="543" t="s">
        <v>728</v>
      </c>
      <c r="Y701" s="419" t="s">
        <v>3630</v>
      </c>
      <c r="Z701" s="445" t="s">
        <v>3631</v>
      </c>
      <c r="AA701" s="496">
        <v>41242</v>
      </c>
      <c r="AB701" s="496"/>
      <c r="AC701" s="881">
        <v>41239</v>
      </c>
      <c r="AD701" s="444">
        <v>41208</v>
      </c>
      <c r="AE701" s="444"/>
      <c r="AF701" s="444"/>
      <c r="AG701" s="423"/>
      <c r="AH701" s="423">
        <v>0</v>
      </c>
      <c r="AI701" s="425"/>
      <c r="AJ701" s="736"/>
      <c r="AK701" s="423"/>
      <c r="AL701" s="423"/>
      <c r="AM701" s="423"/>
      <c r="AN701" s="423"/>
      <c r="AO701" s="419"/>
      <c r="AP701" s="463"/>
      <c r="AQ701" s="782"/>
    </row>
    <row r="702" spans="1:43" s="464" customFormat="1" ht="15" customHeight="1">
      <c r="A702" s="491" t="s">
        <v>3666</v>
      </c>
      <c r="B702" s="467" t="s">
        <v>3675</v>
      </c>
      <c r="C702" s="445" t="s">
        <v>3673</v>
      </c>
      <c r="D702" s="420" t="s">
        <v>707</v>
      </c>
      <c r="E702" s="445" t="s">
        <v>2912</v>
      </c>
      <c r="F702" s="419">
        <v>1</v>
      </c>
      <c r="G702" s="419"/>
      <c r="H702" s="421" t="s">
        <v>968</v>
      </c>
      <c r="I702" s="448" t="s">
        <v>971</v>
      </c>
      <c r="J702" s="507" t="s">
        <v>3674</v>
      </c>
      <c r="K702" s="450" t="s">
        <v>680</v>
      </c>
      <c r="L702" s="425">
        <f t="shared" ref="L702:L708" si="39">O702/5</f>
        <v>142.92940000000002</v>
      </c>
      <c r="M702" s="423">
        <v>0</v>
      </c>
      <c r="N702" s="431">
        <v>39448</v>
      </c>
      <c r="O702" s="425">
        <v>714.64700000000005</v>
      </c>
      <c r="P702" s="868" t="s">
        <v>896</v>
      </c>
      <c r="Q702" s="1087">
        <f>651.155</f>
        <v>651.15499999999997</v>
      </c>
      <c r="R702" s="425"/>
      <c r="S702" s="425"/>
      <c r="T702" s="733">
        <v>41246</v>
      </c>
      <c r="U702" s="444">
        <v>41090</v>
      </c>
      <c r="V702" s="425">
        <v>642.98650630137001</v>
      </c>
      <c r="W702" s="400">
        <f t="shared" si="37"/>
        <v>1.0127039893039393</v>
      </c>
      <c r="X702" s="543" t="s">
        <v>728</v>
      </c>
      <c r="Y702" s="445" t="s">
        <v>3121</v>
      </c>
      <c r="Z702" s="445" t="s">
        <v>3433</v>
      </c>
      <c r="AA702" s="496">
        <v>41242</v>
      </c>
      <c r="AB702" s="550"/>
      <c r="AC702" s="881">
        <v>41227</v>
      </c>
      <c r="AD702" s="444">
        <v>41171</v>
      </c>
      <c r="AE702" s="444"/>
      <c r="AF702" s="444"/>
      <c r="AG702" s="423"/>
      <c r="AH702" s="423">
        <f>27+2.65+1.9</f>
        <v>31.549999999999997</v>
      </c>
      <c r="AI702" s="896"/>
      <c r="AJ702" s="736"/>
      <c r="AK702" s="423"/>
      <c r="AL702" s="423"/>
      <c r="AM702" s="423"/>
      <c r="AN702" s="423"/>
      <c r="AO702" s="419"/>
      <c r="AP702" s="463"/>
      <c r="AQ702" s="782"/>
    </row>
    <row r="703" spans="1:43" s="464" customFormat="1" ht="15" customHeight="1">
      <c r="A703" s="491" t="s">
        <v>3676</v>
      </c>
      <c r="B703" s="467" t="s">
        <v>3700</v>
      </c>
      <c r="C703" s="445" t="s">
        <v>3685</v>
      </c>
      <c r="D703" s="420" t="s">
        <v>707</v>
      </c>
      <c r="E703" s="445" t="s">
        <v>2502</v>
      </c>
      <c r="F703" s="419">
        <v>1</v>
      </c>
      <c r="G703" s="419"/>
      <c r="H703" s="421" t="s">
        <v>968</v>
      </c>
      <c r="I703" s="455" t="s">
        <v>1467</v>
      </c>
      <c r="J703" s="419" t="s">
        <v>2128</v>
      </c>
      <c r="K703" s="450" t="s">
        <v>1767</v>
      </c>
      <c r="L703" s="425">
        <f t="shared" si="39"/>
        <v>360.47179999999997</v>
      </c>
      <c r="M703" s="423">
        <v>50</v>
      </c>
      <c r="N703" s="431">
        <v>39448</v>
      </c>
      <c r="O703" s="425">
        <v>1802.3589999999999</v>
      </c>
      <c r="P703" s="868" t="s">
        <v>728</v>
      </c>
      <c r="Q703" s="1087">
        <f>1654.163</f>
        <v>1654.163</v>
      </c>
      <c r="R703" s="419"/>
      <c r="S703" s="419"/>
      <c r="T703" s="733">
        <v>41242</v>
      </c>
      <c r="U703" s="444">
        <v>41090</v>
      </c>
      <c r="V703" s="425">
        <v>1565.2423636254457</v>
      </c>
      <c r="W703" s="400">
        <f t="shared" si="37"/>
        <v>1.0568095002032749</v>
      </c>
      <c r="X703" s="543" t="s">
        <v>728</v>
      </c>
      <c r="Y703" s="419" t="s">
        <v>3684</v>
      </c>
      <c r="Z703" s="445" t="s">
        <v>1091</v>
      </c>
      <c r="AA703" s="496">
        <v>41246</v>
      </c>
      <c r="AB703" s="550"/>
      <c r="AC703" s="881">
        <v>41241</v>
      </c>
      <c r="AD703" s="444">
        <v>41177</v>
      </c>
      <c r="AE703" s="444"/>
      <c r="AF703" s="444"/>
      <c r="AG703" s="423"/>
      <c r="AH703" s="423">
        <v>0</v>
      </c>
      <c r="AI703" s="425"/>
      <c r="AJ703" s="736"/>
      <c r="AK703" s="423"/>
      <c r="AL703" s="423"/>
      <c r="AM703" s="423"/>
      <c r="AN703" s="423"/>
      <c r="AO703" s="419"/>
      <c r="AP703" s="463"/>
      <c r="AQ703" s="782"/>
    </row>
    <row r="704" spans="1:43" s="464" customFormat="1" ht="27.75" customHeight="1">
      <c r="A704" s="491" t="s">
        <v>3667</v>
      </c>
      <c r="B704" s="467" t="s">
        <v>3699</v>
      </c>
      <c r="C704" s="445" t="s">
        <v>3683</v>
      </c>
      <c r="D704" s="420" t="s">
        <v>707</v>
      </c>
      <c r="E704" s="445" t="s">
        <v>3390</v>
      </c>
      <c r="F704" s="419">
        <v>1</v>
      </c>
      <c r="G704" s="419"/>
      <c r="H704" s="421" t="s">
        <v>968</v>
      </c>
      <c r="I704" s="455" t="s">
        <v>1467</v>
      </c>
      <c r="J704" s="419" t="s">
        <v>2128</v>
      </c>
      <c r="K704" s="450" t="s">
        <v>1767</v>
      </c>
      <c r="L704" s="425">
        <f t="shared" si="39"/>
        <v>115.0898</v>
      </c>
      <c r="M704" s="423">
        <v>6</v>
      </c>
      <c r="N704" s="431">
        <v>39448</v>
      </c>
      <c r="O704" s="425">
        <v>575.44899999999996</v>
      </c>
      <c r="P704" s="868" t="s">
        <v>728</v>
      </c>
      <c r="Q704" s="1087">
        <f>507.034</f>
        <v>507.03399999999999</v>
      </c>
      <c r="R704" s="419"/>
      <c r="S704" s="419"/>
      <c r="T704" s="733">
        <v>41242</v>
      </c>
      <c r="U704" s="444">
        <v>41090</v>
      </c>
      <c r="V704" s="425">
        <v>510.98001001313571</v>
      </c>
      <c r="W704" s="400">
        <f t="shared" si="37"/>
        <v>0.99227756480525675</v>
      </c>
      <c r="X704" s="543" t="s">
        <v>728</v>
      </c>
      <c r="Y704" s="419" t="s">
        <v>3684</v>
      </c>
      <c r="Z704" s="462" t="s">
        <v>1091</v>
      </c>
      <c r="AA704" s="496">
        <v>41246</v>
      </c>
      <c r="AB704" s="550"/>
      <c r="AC704" s="881">
        <v>41241</v>
      </c>
      <c r="AD704" s="444">
        <v>41178</v>
      </c>
      <c r="AE704" s="444"/>
      <c r="AF704" s="444"/>
      <c r="AG704" s="423"/>
      <c r="AH704" s="423">
        <v>0</v>
      </c>
      <c r="AI704" s="425"/>
      <c r="AJ704" s="736"/>
      <c r="AK704" s="423"/>
      <c r="AL704" s="423"/>
      <c r="AM704" s="423"/>
      <c r="AN704" s="423"/>
      <c r="AO704" s="419"/>
      <c r="AP704" s="463"/>
      <c r="AQ704" s="782"/>
    </row>
    <row r="705" spans="1:43" s="464" customFormat="1" ht="15" customHeight="1">
      <c r="A705" s="491" t="s">
        <v>3679</v>
      </c>
      <c r="B705" s="467" t="s">
        <v>3714</v>
      </c>
      <c r="C705" s="445" t="s">
        <v>3690</v>
      </c>
      <c r="D705" s="420" t="s">
        <v>707</v>
      </c>
      <c r="E705" s="445" t="s">
        <v>1627</v>
      </c>
      <c r="F705" s="419">
        <v>1</v>
      </c>
      <c r="G705" s="419"/>
      <c r="H705" s="421" t="s">
        <v>968</v>
      </c>
      <c r="I705" s="455" t="s">
        <v>1059</v>
      </c>
      <c r="J705" s="449" t="s">
        <v>889</v>
      </c>
      <c r="K705" s="450" t="s">
        <v>2001</v>
      </c>
      <c r="L705" s="425">
        <f t="shared" si="39"/>
        <v>1177.31</v>
      </c>
      <c r="M705" s="423">
        <v>200</v>
      </c>
      <c r="N705" s="431">
        <v>39448</v>
      </c>
      <c r="O705" s="425">
        <v>5886.55</v>
      </c>
      <c r="P705" s="868" t="s">
        <v>728</v>
      </c>
      <c r="Q705" s="1087">
        <f>4813.005</f>
        <v>4813.0050000000001</v>
      </c>
      <c r="R705" s="425"/>
      <c r="S705" s="425"/>
      <c r="T705" s="733">
        <v>41267</v>
      </c>
      <c r="U705" s="444">
        <v>41243</v>
      </c>
      <c r="V705" s="425">
        <v>5749.3644529930561</v>
      </c>
      <c r="W705" s="400">
        <f t="shared" si="37"/>
        <v>0.83713687649326218</v>
      </c>
      <c r="X705" s="543" t="s">
        <v>728</v>
      </c>
      <c r="Y705" s="445" t="s">
        <v>3691</v>
      </c>
      <c r="Z705" s="445" t="s">
        <v>2894</v>
      </c>
      <c r="AA705" s="496">
        <v>41249</v>
      </c>
      <c r="AB705" s="550"/>
      <c r="AC705" s="881">
        <v>41241</v>
      </c>
      <c r="AD705" s="444">
        <v>41211</v>
      </c>
      <c r="AE705" s="444"/>
      <c r="AF705" s="444"/>
      <c r="AG705" s="423"/>
      <c r="AH705" s="423">
        <v>0</v>
      </c>
      <c r="AI705" s="425"/>
      <c r="AJ705" s="736"/>
      <c r="AK705" s="423"/>
      <c r="AL705" s="423"/>
      <c r="AM705" s="423"/>
      <c r="AN705" s="423"/>
      <c r="AO705" s="419"/>
      <c r="AP705" s="463"/>
      <c r="AQ705" s="782"/>
    </row>
    <row r="706" spans="1:43" s="464" customFormat="1" ht="15" customHeight="1">
      <c r="A706" s="491" t="s">
        <v>3852</v>
      </c>
      <c r="B706" s="467" t="s">
        <v>3728</v>
      </c>
      <c r="C706" s="445" t="s">
        <v>3725</v>
      </c>
      <c r="D706" s="420" t="s">
        <v>707</v>
      </c>
      <c r="E706" s="445" t="s">
        <v>3726</v>
      </c>
      <c r="F706" s="420">
        <v>1</v>
      </c>
      <c r="G706" s="420"/>
      <c r="H706" s="421" t="s">
        <v>968</v>
      </c>
      <c r="I706" s="455" t="s">
        <v>1736</v>
      </c>
      <c r="J706" s="445" t="s">
        <v>1069</v>
      </c>
      <c r="K706" s="450" t="s">
        <v>2001</v>
      </c>
      <c r="L706" s="425">
        <f t="shared" si="39"/>
        <v>264.68799999999999</v>
      </c>
      <c r="M706" s="423">
        <v>12</v>
      </c>
      <c r="N706" s="431">
        <v>39448</v>
      </c>
      <c r="O706" s="425">
        <v>1323.44</v>
      </c>
      <c r="P706" s="868" t="s">
        <v>728</v>
      </c>
      <c r="Q706" s="1087">
        <f>1336.7</f>
        <v>1336.7</v>
      </c>
      <c r="R706" s="425"/>
      <c r="S706" s="425"/>
      <c r="T706" s="733">
        <v>41250</v>
      </c>
      <c r="U706" s="444">
        <v>41243</v>
      </c>
      <c r="V706" s="425">
        <v>1299.2596014261587</v>
      </c>
      <c r="W706" s="400">
        <f t="shared" si="37"/>
        <v>1.0288167187933375</v>
      </c>
      <c r="X706" s="543" t="s">
        <v>728</v>
      </c>
      <c r="Y706" s="445" t="s">
        <v>2893</v>
      </c>
      <c r="Z706" s="445" t="s">
        <v>2894</v>
      </c>
      <c r="AA706" s="496">
        <v>41254</v>
      </c>
      <c r="AB706" s="550"/>
      <c r="AC706" s="881">
        <v>41241</v>
      </c>
      <c r="AD706" s="444">
        <v>41212</v>
      </c>
      <c r="AE706" s="444"/>
      <c r="AF706" s="444"/>
      <c r="AG706" s="423"/>
      <c r="AH706" s="423">
        <v>0</v>
      </c>
      <c r="AI706" s="425"/>
      <c r="AJ706" s="736"/>
      <c r="AK706" s="423"/>
      <c r="AL706" s="423"/>
      <c r="AM706" s="423"/>
      <c r="AN706" s="423"/>
      <c r="AO706" s="419"/>
      <c r="AP706" s="463"/>
      <c r="AQ706" s="782"/>
    </row>
    <row r="707" spans="1:43" s="464" customFormat="1" ht="27.75" customHeight="1">
      <c r="A707" s="491" t="s">
        <v>3853</v>
      </c>
      <c r="B707" s="467" t="s">
        <v>3729</v>
      </c>
      <c r="C707" s="445" t="s">
        <v>3727</v>
      </c>
      <c r="D707" s="420" t="s">
        <v>707</v>
      </c>
      <c r="E707" s="419" t="s">
        <v>3319</v>
      </c>
      <c r="F707" s="420">
        <v>1</v>
      </c>
      <c r="G707" s="419"/>
      <c r="H707" s="421" t="s">
        <v>968</v>
      </c>
      <c r="I707" s="455" t="s">
        <v>1736</v>
      </c>
      <c r="J707" s="445" t="s">
        <v>1069</v>
      </c>
      <c r="K707" s="450" t="s">
        <v>2001</v>
      </c>
      <c r="L707" s="425">
        <f t="shared" si="39"/>
        <v>1049.3902</v>
      </c>
      <c r="M707" s="423">
        <v>200</v>
      </c>
      <c r="N707" s="431">
        <v>39448</v>
      </c>
      <c r="O707" s="425">
        <v>5246.951</v>
      </c>
      <c r="P707" s="868" t="s">
        <v>728</v>
      </c>
      <c r="Q707" s="1087">
        <f>4459.228</f>
        <v>4459.2280000000001</v>
      </c>
      <c r="R707" s="419"/>
      <c r="S707" s="419"/>
      <c r="T707" s="733">
        <v>41250</v>
      </c>
      <c r="U707" s="444">
        <v>41243</v>
      </c>
      <c r="V707" s="425">
        <v>5120.2794091574406</v>
      </c>
      <c r="W707" s="400">
        <f t="shared" si="37"/>
        <v>0.87089544215591574</v>
      </c>
      <c r="X707" s="543" t="s">
        <v>728</v>
      </c>
      <c r="Y707" s="445" t="s">
        <v>2893</v>
      </c>
      <c r="Z707" s="445" t="s">
        <v>2894</v>
      </c>
      <c r="AA707" s="496">
        <v>41254</v>
      </c>
      <c r="AB707" s="496"/>
      <c r="AC707" s="881">
        <v>41241</v>
      </c>
      <c r="AD707" s="444">
        <v>41201</v>
      </c>
      <c r="AE707" s="444"/>
      <c r="AF707" s="444"/>
      <c r="AG707" s="423"/>
      <c r="AH707" s="423">
        <v>0</v>
      </c>
      <c r="AI707" s="425"/>
      <c r="AJ707" s="736"/>
      <c r="AK707" s="423"/>
      <c r="AL707" s="423"/>
      <c r="AM707" s="423"/>
      <c r="AN707" s="423"/>
      <c r="AO707" s="419"/>
      <c r="AP707" s="463"/>
      <c r="AQ707" s="782"/>
    </row>
    <row r="708" spans="1:43" s="464" customFormat="1" ht="15" customHeight="1">
      <c r="A708" s="491" t="s">
        <v>3854</v>
      </c>
      <c r="B708" s="467" t="s">
        <v>3730</v>
      </c>
      <c r="C708" s="445" t="s">
        <v>3731</v>
      </c>
      <c r="D708" s="420" t="s">
        <v>707</v>
      </c>
      <c r="E708" s="419" t="s">
        <v>3390</v>
      </c>
      <c r="F708" s="420">
        <v>1</v>
      </c>
      <c r="G708" s="419"/>
      <c r="H708" s="421" t="s">
        <v>968</v>
      </c>
      <c r="I708" s="455" t="s">
        <v>1736</v>
      </c>
      <c r="J708" s="445" t="s">
        <v>1069</v>
      </c>
      <c r="K708" s="455" t="s">
        <v>2001</v>
      </c>
      <c r="L708" s="425">
        <f t="shared" si="39"/>
        <v>326.04579999999999</v>
      </c>
      <c r="M708" s="423">
        <v>30</v>
      </c>
      <c r="N708" s="431">
        <v>39448</v>
      </c>
      <c r="O708" s="425">
        <v>1630.229</v>
      </c>
      <c r="P708" s="868" t="s">
        <v>728</v>
      </c>
      <c r="Q708" s="1087">
        <f>1606.987</f>
        <v>1606.9870000000001</v>
      </c>
      <c r="R708" s="419"/>
      <c r="S708" s="419"/>
      <c r="T708" s="733">
        <v>41250</v>
      </c>
      <c r="U708" s="444">
        <v>41243</v>
      </c>
      <c r="V708" s="425">
        <v>1597.3676638393692</v>
      </c>
      <c r="W708" s="427"/>
      <c r="X708" s="543"/>
      <c r="Y708" s="445" t="s">
        <v>2893</v>
      </c>
      <c r="Z708" s="462" t="s">
        <v>2894</v>
      </c>
      <c r="AA708" s="496">
        <v>41254</v>
      </c>
      <c r="AB708" s="550"/>
      <c r="AC708" s="881">
        <v>41241</v>
      </c>
      <c r="AD708" s="444">
        <v>41212</v>
      </c>
      <c r="AE708" s="444"/>
      <c r="AF708" s="444"/>
      <c r="AG708" s="423"/>
      <c r="AH708" s="423">
        <v>0</v>
      </c>
      <c r="AI708" s="425"/>
      <c r="AJ708" s="736"/>
      <c r="AK708" s="423"/>
      <c r="AL708" s="423"/>
      <c r="AM708" s="423"/>
      <c r="AN708" s="423"/>
      <c r="AO708" s="419"/>
      <c r="AP708" s="463"/>
      <c r="AQ708" s="782"/>
    </row>
    <row r="709" spans="1:43" s="464" customFormat="1" ht="15" customHeight="1">
      <c r="A709" s="491" t="s">
        <v>3702</v>
      </c>
      <c r="B709" s="467" t="s">
        <v>3718</v>
      </c>
      <c r="C709" s="445" t="s">
        <v>3706</v>
      </c>
      <c r="D709" s="449" t="s">
        <v>707</v>
      </c>
      <c r="E709" s="445" t="s">
        <v>1043</v>
      </c>
      <c r="F709" s="420">
        <v>1</v>
      </c>
      <c r="G709" s="419"/>
      <c r="H709" s="421" t="s">
        <v>968</v>
      </c>
      <c r="I709" s="448" t="s">
        <v>1548</v>
      </c>
      <c r="J709" s="419" t="s">
        <v>2264</v>
      </c>
      <c r="K709" s="455" t="s">
        <v>2001</v>
      </c>
      <c r="L709" s="425">
        <v>783.76199999999994</v>
      </c>
      <c r="M709" s="423">
        <v>0</v>
      </c>
      <c r="N709" s="431">
        <v>39510</v>
      </c>
      <c r="O709" s="425">
        <v>3788.1819999999998</v>
      </c>
      <c r="P709" s="868" t="s">
        <v>728</v>
      </c>
      <c r="Q709" s="1087">
        <f>3676.623</f>
        <v>3676.623</v>
      </c>
      <c r="R709" s="425"/>
      <c r="S709" s="425"/>
      <c r="T709" s="733">
        <v>41260</v>
      </c>
      <c r="U709" s="444">
        <v>41213</v>
      </c>
      <c r="V709" s="425">
        <v>3656.8402356164383</v>
      </c>
      <c r="W709" s="400">
        <f t="shared" ref="W709:W717" si="40">Q709/V709</f>
        <v>1.0054097972864344</v>
      </c>
      <c r="X709" s="543" t="s">
        <v>728</v>
      </c>
      <c r="Y709" s="419" t="s">
        <v>2896</v>
      </c>
      <c r="Z709" s="445" t="s">
        <v>2897</v>
      </c>
      <c r="AA709" s="496">
        <v>41254</v>
      </c>
      <c r="AB709" s="550"/>
      <c r="AC709" s="881">
        <v>41250</v>
      </c>
      <c r="AD709" s="444">
        <v>41246</v>
      </c>
      <c r="AE709" s="444"/>
      <c r="AF709" s="444"/>
      <c r="AG709" s="423"/>
      <c r="AH709" s="423">
        <v>0</v>
      </c>
      <c r="AI709" s="425"/>
      <c r="AJ709" s="736"/>
      <c r="AK709" s="423"/>
      <c r="AL709" s="423"/>
      <c r="AM709" s="423"/>
      <c r="AN709" s="423"/>
      <c r="AO709" s="419"/>
      <c r="AP709" s="463"/>
      <c r="AQ709" s="782"/>
    </row>
    <row r="710" spans="1:43" s="464" customFormat="1" ht="27.75" customHeight="1">
      <c r="A710" s="491" t="s">
        <v>3704</v>
      </c>
      <c r="B710" s="467" t="s">
        <v>3719</v>
      </c>
      <c r="C710" s="445" t="s">
        <v>3708</v>
      </c>
      <c r="D710" s="449" t="s">
        <v>707</v>
      </c>
      <c r="E710" s="445" t="s">
        <v>229</v>
      </c>
      <c r="F710" s="420">
        <v>1</v>
      </c>
      <c r="G710" s="419"/>
      <c r="H710" s="421" t="s">
        <v>968</v>
      </c>
      <c r="I710" s="448" t="s">
        <v>1548</v>
      </c>
      <c r="J710" s="419" t="s">
        <v>2264</v>
      </c>
      <c r="K710" s="450" t="s">
        <v>2001</v>
      </c>
      <c r="L710" s="425">
        <v>1138.3879999999999</v>
      </c>
      <c r="M710" s="423">
        <v>0</v>
      </c>
      <c r="N710" s="431">
        <v>39800</v>
      </c>
      <c r="O710" s="425">
        <v>4553.5510000000004</v>
      </c>
      <c r="P710" s="868" t="s">
        <v>728</v>
      </c>
      <c r="Q710" s="1087">
        <v>4354.8370000000004</v>
      </c>
      <c r="R710" s="425"/>
      <c r="S710" s="425"/>
      <c r="T710" s="733">
        <v>41260</v>
      </c>
      <c r="U710" s="444">
        <v>41213</v>
      </c>
      <c r="V710" s="425">
        <v>4406.9650520547948</v>
      </c>
      <c r="W710" s="400">
        <f t="shared" si="40"/>
        <v>0.98817143965539522</v>
      </c>
      <c r="X710" s="543" t="s">
        <v>728</v>
      </c>
      <c r="Y710" s="419" t="s">
        <v>2896</v>
      </c>
      <c r="Z710" s="445" t="s">
        <v>2897</v>
      </c>
      <c r="AA710" s="496">
        <v>41254</v>
      </c>
      <c r="AB710" s="550"/>
      <c r="AC710" s="881">
        <v>41250</v>
      </c>
      <c r="AD710" s="444">
        <v>41246</v>
      </c>
      <c r="AE710" s="444"/>
      <c r="AF710" s="444"/>
      <c r="AG710" s="423"/>
      <c r="AH710" s="423">
        <v>0</v>
      </c>
      <c r="AI710" s="425"/>
      <c r="AJ710" s="736"/>
      <c r="AK710" s="423"/>
      <c r="AL710" s="423"/>
      <c r="AM710" s="423"/>
      <c r="AN710" s="423"/>
      <c r="AO710" s="419"/>
      <c r="AP710" s="463"/>
      <c r="AQ710" s="782"/>
    </row>
    <row r="711" spans="1:43" s="464" customFormat="1" ht="29.25" customHeight="1">
      <c r="A711" s="491" t="s">
        <v>3705</v>
      </c>
      <c r="B711" s="467" t="s">
        <v>3720</v>
      </c>
      <c r="C711" s="445" t="s">
        <v>3709</v>
      </c>
      <c r="D711" s="449" t="s">
        <v>707</v>
      </c>
      <c r="E711" s="445" t="s">
        <v>229</v>
      </c>
      <c r="F711" s="419">
        <v>1</v>
      </c>
      <c r="G711" s="419"/>
      <c r="H711" s="421" t="s">
        <v>968</v>
      </c>
      <c r="I711" s="448" t="s">
        <v>1548</v>
      </c>
      <c r="J711" s="419" t="s">
        <v>2264</v>
      </c>
      <c r="K711" s="450" t="s">
        <v>2001</v>
      </c>
      <c r="L711" s="425">
        <v>1346.329</v>
      </c>
      <c r="M711" s="423">
        <v>0</v>
      </c>
      <c r="N711" s="431">
        <v>39800</v>
      </c>
      <c r="O711" s="425">
        <v>5385.32</v>
      </c>
      <c r="P711" s="868" t="s">
        <v>728</v>
      </c>
      <c r="Q711" s="1087">
        <v>5127.0969999999998</v>
      </c>
      <c r="R711" s="425"/>
      <c r="S711" s="425"/>
      <c r="T711" s="733">
        <v>41260</v>
      </c>
      <c r="U711" s="444">
        <v>41213</v>
      </c>
      <c r="V711" s="425">
        <v>5211.9530876712333</v>
      </c>
      <c r="W711" s="400">
        <f t="shared" si="40"/>
        <v>0.98371894638269886</v>
      </c>
      <c r="X711" s="543" t="s">
        <v>728</v>
      </c>
      <c r="Y711" s="419" t="s">
        <v>2896</v>
      </c>
      <c r="Z711" s="445" t="s">
        <v>2897</v>
      </c>
      <c r="AA711" s="496">
        <v>41254</v>
      </c>
      <c r="AB711" s="550"/>
      <c r="AC711" s="881">
        <v>41250</v>
      </c>
      <c r="AD711" s="444">
        <v>41246</v>
      </c>
      <c r="AE711" s="444"/>
      <c r="AF711" s="444"/>
      <c r="AG711" s="423"/>
      <c r="AH711" s="423">
        <v>0</v>
      </c>
      <c r="AI711" s="425"/>
      <c r="AJ711" s="736"/>
      <c r="AK711" s="423"/>
      <c r="AL711" s="423"/>
      <c r="AM711" s="423"/>
      <c r="AN711" s="423"/>
      <c r="AO711" s="419"/>
      <c r="AP711" s="463"/>
      <c r="AQ711" s="782"/>
    </row>
    <row r="712" spans="1:43" s="464" customFormat="1" ht="15" customHeight="1">
      <c r="A712" s="491" t="s">
        <v>3703</v>
      </c>
      <c r="B712" s="467" t="s">
        <v>3721</v>
      </c>
      <c r="C712" s="445" t="s">
        <v>3707</v>
      </c>
      <c r="D712" s="449" t="s">
        <v>707</v>
      </c>
      <c r="E712" s="445" t="s">
        <v>229</v>
      </c>
      <c r="F712" s="419">
        <v>1</v>
      </c>
      <c r="G712" s="419"/>
      <c r="H712" s="421" t="s">
        <v>968</v>
      </c>
      <c r="I712" s="448" t="s">
        <v>1548</v>
      </c>
      <c r="J712" s="419" t="s">
        <v>2264</v>
      </c>
      <c r="K712" s="450" t="s">
        <v>2001</v>
      </c>
      <c r="L712" s="425">
        <v>1147.3689999999999</v>
      </c>
      <c r="M712" s="423">
        <v>0</v>
      </c>
      <c r="N712" s="431">
        <v>39797</v>
      </c>
      <c r="O712" s="425">
        <v>4685.0889999999999</v>
      </c>
      <c r="P712" s="868" t="s">
        <v>728</v>
      </c>
      <c r="Q712" s="1087">
        <v>4477.1260000000002</v>
      </c>
      <c r="R712" s="425"/>
      <c r="S712" s="425"/>
      <c r="T712" s="733">
        <v>41260</v>
      </c>
      <c r="U712" s="444">
        <v>41213</v>
      </c>
      <c r="V712" s="425">
        <v>4451.1630246575342</v>
      </c>
      <c r="W712" s="400">
        <f t="shared" si="40"/>
        <v>1.0058328520430824</v>
      </c>
      <c r="X712" s="543" t="s">
        <v>728</v>
      </c>
      <c r="Y712" s="419" t="s">
        <v>2896</v>
      </c>
      <c r="Z712" s="462" t="s">
        <v>2897</v>
      </c>
      <c r="AA712" s="496">
        <v>41254</v>
      </c>
      <c r="AB712" s="550"/>
      <c r="AC712" s="881">
        <v>41250</v>
      </c>
      <c r="AD712" s="444">
        <v>41246</v>
      </c>
      <c r="AE712" s="444"/>
      <c r="AF712" s="444"/>
      <c r="AG712" s="423"/>
      <c r="AH712" s="423">
        <v>0</v>
      </c>
      <c r="AI712" s="425"/>
      <c r="AJ712" s="736"/>
      <c r="AK712" s="423"/>
      <c r="AL712" s="423"/>
      <c r="AM712" s="423"/>
      <c r="AN712" s="423"/>
      <c r="AO712" s="419"/>
      <c r="AP712" s="463"/>
      <c r="AQ712" s="782"/>
    </row>
    <row r="713" spans="1:43" s="464" customFormat="1" ht="15" customHeight="1">
      <c r="A713" s="491" t="s">
        <v>3858</v>
      </c>
      <c r="B713" s="467" t="s">
        <v>3741</v>
      </c>
      <c r="C713" s="445" t="s">
        <v>3742</v>
      </c>
      <c r="D713" s="449" t="s">
        <v>707</v>
      </c>
      <c r="E713" s="445" t="s">
        <v>1998</v>
      </c>
      <c r="F713" s="419">
        <v>1</v>
      </c>
      <c r="G713" s="419"/>
      <c r="H713" s="421" t="s">
        <v>968</v>
      </c>
      <c r="I713" s="455" t="s">
        <v>1467</v>
      </c>
      <c r="J713" s="445" t="s">
        <v>3743</v>
      </c>
      <c r="K713" s="450" t="s">
        <v>2001</v>
      </c>
      <c r="L713" s="425">
        <f>O713/5</f>
        <v>1623.4556</v>
      </c>
      <c r="M713" s="423">
        <v>0</v>
      </c>
      <c r="N713" s="431">
        <v>39448</v>
      </c>
      <c r="O713" s="425">
        <v>8117.2780000000002</v>
      </c>
      <c r="P713" s="868" t="s">
        <v>728</v>
      </c>
      <c r="Q713" s="1087">
        <f>8442.281</f>
        <v>8442.2810000000009</v>
      </c>
      <c r="R713" s="419"/>
      <c r="S713" s="419"/>
      <c r="T713" s="733">
        <v>41248</v>
      </c>
      <c r="U713" s="444">
        <v>41213</v>
      </c>
      <c r="V713" s="425">
        <v>7850.4085863013706</v>
      </c>
      <c r="W713" s="400">
        <f t="shared" si="40"/>
        <v>1.0753938355172268</v>
      </c>
      <c r="X713" s="543" t="s">
        <v>728</v>
      </c>
      <c r="Y713" s="445" t="s">
        <v>2893</v>
      </c>
      <c r="Z713" s="462" t="s">
        <v>3744</v>
      </c>
      <c r="AA713" s="496">
        <v>41257</v>
      </c>
      <c r="AB713" s="550"/>
      <c r="AC713" s="881">
        <v>41248</v>
      </c>
      <c r="AD713" s="865">
        <v>41229</v>
      </c>
      <c r="AE713" s="444"/>
      <c r="AF713" s="444"/>
      <c r="AG713" s="423"/>
      <c r="AH713" s="423">
        <v>0</v>
      </c>
      <c r="AI713" s="425"/>
      <c r="AJ713" s="736"/>
      <c r="AK713" s="423"/>
      <c r="AL713" s="423"/>
      <c r="AM713" s="423"/>
      <c r="AN713" s="423"/>
      <c r="AO713" s="419"/>
      <c r="AP713" s="463"/>
      <c r="AQ713" s="782"/>
    </row>
    <row r="714" spans="1:43" s="464" customFormat="1" ht="15" customHeight="1">
      <c r="A714" s="491" t="s">
        <v>3677</v>
      </c>
      <c r="B714" s="467" t="s">
        <v>3724</v>
      </c>
      <c r="C714" s="445" t="s">
        <v>3686</v>
      </c>
      <c r="D714" s="420" t="s">
        <v>707</v>
      </c>
      <c r="E714" s="445" t="s">
        <v>1998</v>
      </c>
      <c r="F714" s="419">
        <v>1</v>
      </c>
      <c r="G714" s="419"/>
      <c r="H714" s="421" t="s">
        <v>968</v>
      </c>
      <c r="I714" s="455" t="s">
        <v>973</v>
      </c>
      <c r="J714" s="419"/>
      <c r="K714" s="450" t="s">
        <v>2001</v>
      </c>
      <c r="L714" s="425">
        <f>O714/5</f>
        <v>757.70799999999997</v>
      </c>
      <c r="M714" s="423">
        <v>0</v>
      </c>
      <c r="N714" s="431">
        <v>39448</v>
      </c>
      <c r="O714" s="425">
        <v>3788.54</v>
      </c>
      <c r="P714" s="868" t="s">
        <v>728</v>
      </c>
      <c r="Q714" s="1087">
        <f>3708.578</f>
        <v>3708.578</v>
      </c>
      <c r="R714" s="425"/>
      <c r="S714" s="425"/>
      <c r="T714" s="733">
        <v>41255</v>
      </c>
      <c r="U714" s="444">
        <v>41152</v>
      </c>
      <c r="V714" s="425">
        <v>3537.3546082191783</v>
      </c>
      <c r="W714" s="400">
        <f t="shared" si="40"/>
        <v>1.048404361661389</v>
      </c>
      <c r="X714" s="543" t="s">
        <v>728</v>
      </c>
      <c r="Y714" s="445" t="s">
        <v>3687</v>
      </c>
      <c r="Z714" s="462" t="s">
        <v>3688</v>
      </c>
      <c r="AA714" s="496">
        <v>41249</v>
      </c>
      <c r="AB714" s="550"/>
      <c r="AC714" s="1075">
        <v>41239</v>
      </c>
      <c r="AD714" s="444">
        <v>41218</v>
      </c>
      <c r="AE714" s="444"/>
      <c r="AF714" s="444"/>
      <c r="AG714" s="423"/>
      <c r="AH714" s="423">
        <v>0</v>
      </c>
      <c r="AI714" s="425"/>
      <c r="AJ714" s="736"/>
      <c r="AK714" s="423"/>
      <c r="AL714" s="423"/>
      <c r="AM714" s="423"/>
      <c r="AN714" s="423"/>
      <c r="AO714" s="419"/>
      <c r="AP714" s="463"/>
      <c r="AQ714" s="782"/>
    </row>
    <row r="715" spans="1:43" s="464" customFormat="1" ht="26.25" customHeight="1">
      <c r="A715" s="491" t="s">
        <v>3873</v>
      </c>
      <c r="B715" s="467" t="s">
        <v>3780</v>
      </c>
      <c r="C715" s="445" t="s">
        <v>3781</v>
      </c>
      <c r="D715" s="449" t="s">
        <v>707</v>
      </c>
      <c r="E715" s="419" t="s">
        <v>3319</v>
      </c>
      <c r="F715" s="419">
        <v>1</v>
      </c>
      <c r="G715" s="419"/>
      <c r="H715" s="421" t="s">
        <v>968</v>
      </c>
      <c r="I715" s="455" t="s">
        <v>1467</v>
      </c>
      <c r="J715" s="419" t="s">
        <v>2128</v>
      </c>
      <c r="K715" s="450" t="s">
        <v>1767</v>
      </c>
      <c r="L715" s="425">
        <f>O715/5</f>
        <v>164.83859999999999</v>
      </c>
      <c r="M715" s="423">
        <v>5</v>
      </c>
      <c r="N715" s="431">
        <v>39448</v>
      </c>
      <c r="O715" s="425">
        <v>824.19299999999998</v>
      </c>
      <c r="P715" s="868" t="s">
        <v>728</v>
      </c>
      <c r="Q715" s="1087">
        <f>653.006</f>
        <v>653.00599999999997</v>
      </c>
      <c r="R715" s="425"/>
      <c r="S715" s="425"/>
      <c r="T715" s="733">
        <v>41271</v>
      </c>
      <c r="U715" s="444">
        <v>40908</v>
      </c>
      <c r="V715" s="425">
        <v>649.35439999999994</v>
      </c>
      <c r="W715" s="400">
        <f t="shared" si="40"/>
        <v>1.0056234315190595</v>
      </c>
      <c r="X715" s="543" t="s">
        <v>728</v>
      </c>
      <c r="Y715" s="445" t="s">
        <v>2674</v>
      </c>
      <c r="Z715" s="934" t="s">
        <v>3782</v>
      </c>
      <c r="AA715" s="496">
        <v>41267</v>
      </c>
      <c r="AB715" s="550"/>
      <c r="AC715" s="881">
        <v>41262</v>
      </c>
      <c r="AD715" s="444">
        <v>41218</v>
      </c>
      <c r="AE715" s="444"/>
      <c r="AF715" s="444"/>
      <c r="AG715" s="423"/>
      <c r="AH715" s="423">
        <v>0</v>
      </c>
      <c r="AI715" s="425"/>
      <c r="AJ715" s="423">
        <f>11/Exch!B11</f>
        <v>13.027723469278023</v>
      </c>
      <c r="AK715" s="423">
        <f>AJ715*1000/L715</f>
        <v>79.033208661551498</v>
      </c>
      <c r="AL715" s="423"/>
      <c r="AM715" s="423"/>
      <c r="AN715" s="423"/>
      <c r="AO715" s="419"/>
      <c r="AP715" s="463"/>
      <c r="AQ715" s="782"/>
    </row>
    <row r="716" spans="1:43" s="464" customFormat="1" ht="28.5" customHeight="1">
      <c r="A716" s="491" t="s">
        <v>3895</v>
      </c>
      <c r="B716" s="467" t="s">
        <v>3783</v>
      </c>
      <c r="C716" s="445" t="s">
        <v>3750</v>
      </c>
      <c r="D716" s="420" t="s">
        <v>707</v>
      </c>
      <c r="E716" s="419" t="s">
        <v>1562</v>
      </c>
      <c r="F716" s="419">
        <v>1</v>
      </c>
      <c r="G716" s="419"/>
      <c r="H716" s="421" t="s">
        <v>968</v>
      </c>
      <c r="I716" s="448" t="s">
        <v>1548</v>
      </c>
      <c r="J716" s="419" t="s">
        <v>2264</v>
      </c>
      <c r="K716" s="450" t="s">
        <v>2001</v>
      </c>
      <c r="L716" s="425">
        <v>571.11099999999999</v>
      </c>
      <c r="M716" s="423">
        <v>0</v>
      </c>
      <c r="N716" s="431">
        <v>39965</v>
      </c>
      <c r="O716" s="425">
        <v>2046.481</v>
      </c>
      <c r="P716" s="868" t="s">
        <v>896</v>
      </c>
      <c r="Q716" s="1087">
        <f>1961.394</f>
        <v>1961.394</v>
      </c>
      <c r="R716" s="425"/>
      <c r="S716" s="425"/>
      <c r="T716" s="733">
        <v>41277</v>
      </c>
      <c r="U716" s="444">
        <v>41243</v>
      </c>
      <c r="V716" s="425">
        <v>1999.6708438356163</v>
      </c>
      <c r="W716" s="400">
        <f t="shared" si="40"/>
        <v>0.98085842779894883</v>
      </c>
      <c r="X716" s="543" t="s">
        <v>728</v>
      </c>
      <c r="Y716" s="419" t="s">
        <v>3630</v>
      </c>
      <c r="Z716" s="445" t="s">
        <v>3749</v>
      </c>
      <c r="AA716" s="496">
        <v>41270</v>
      </c>
      <c r="AB716" s="550"/>
      <c r="AC716" s="881">
        <v>41264</v>
      </c>
      <c r="AD716" s="444">
        <v>41242</v>
      </c>
      <c r="AE716" s="444"/>
      <c r="AF716" s="444"/>
      <c r="AG716" s="423"/>
      <c r="AH716" s="423">
        <v>0</v>
      </c>
      <c r="AI716" s="425"/>
      <c r="AJ716" s="736"/>
      <c r="AK716" s="423"/>
      <c r="AL716" s="423"/>
      <c r="AM716" s="423"/>
      <c r="AN716" s="423"/>
      <c r="AO716" s="419"/>
      <c r="AP716" s="463"/>
      <c r="AQ716" s="782"/>
    </row>
    <row r="717" spans="1:43" s="464" customFormat="1" ht="17.25" customHeight="1">
      <c r="A717" s="491" t="s">
        <v>3874</v>
      </c>
      <c r="B717" s="467" t="s">
        <v>3785</v>
      </c>
      <c r="C717" s="445" t="s">
        <v>3784</v>
      </c>
      <c r="D717" s="449" t="s">
        <v>707</v>
      </c>
      <c r="E717" s="419" t="s">
        <v>3786</v>
      </c>
      <c r="F717" s="419">
        <v>1</v>
      </c>
      <c r="G717" s="419"/>
      <c r="H717" s="421" t="s">
        <v>968</v>
      </c>
      <c r="I717" s="455" t="s">
        <v>1736</v>
      </c>
      <c r="J717" s="445" t="s">
        <v>611</v>
      </c>
      <c r="K717" s="450" t="s">
        <v>2001</v>
      </c>
      <c r="L717" s="425">
        <v>231.66</v>
      </c>
      <c r="M717" s="423">
        <v>120</v>
      </c>
      <c r="N717" s="431">
        <v>40493</v>
      </c>
      <c r="O717" s="425">
        <v>501.92899999999997</v>
      </c>
      <c r="P717" s="868" t="s">
        <v>728</v>
      </c>
      <c r="Q717" s="1087">
        <f>321.908</f>
        <v>321.90800000000002</v>
      </c>
      <c r="R717" s="425"/>
      <c r="S717" s="425"/>
      <c r="T717" s="733">
        <v>41372</v>
      </c>
      <c r="U717" s="444">
        <v>41274</v>
      </c>
      <c r="V717" s="425">
        <v>128.47677162694694</v>
      </c>
      <c r="W717" s="400">
        <f t="shared" si="40"/>
        <v>2.5055735439454527</v>
      </c>
      <c r="X717" s="543" t="s">
        <v>728</v>
      </c>
      <c r="Y717" s="445" t="s">
        <v>2900</v>
      </c>
      <c r="Z717" s="445" t="s">
        <v>2433</v>
      </c>
      <c r="AA717" s="496">
        <v>41267</v>
      </c>
      <c r="AB717" s="550"/>
      <c r="AC717" s="881">
        <v>41262</v>
      </c>
      <c r="AD717" s="444">
        <v>41246</v>
      </c>
      <c r="AE717" s="444"/>
      <c r="AF717" s="444"/>
      <c r="AG717" s="423"/>
      <c r="AH717" s="423">
        <v>0</v>
      </c>
      <c r="AI717" s="425"/>
      <c r="AJ717" s="423">
        <f>82.5/Exch!B11</f>
        <v>97.707926019585159</v>
      </c>
      <c r="AK717" s="423">
        <f>AJ717*1000/L717</f>
        <v>421.77296909084498</v>
      </c>
      <c r="AL717" s="423"/>
      <c r="AM717" s="423"/>
      <c r="AN717" s="423"/>
      <c r="AO717" s="419"/>
      <c r="AP717" s="463"/>
      <c r="AQ717" s="782"/>
    </row>
    <row r="718" spans="1:43" s="464" customFormat="1" ht="16.5" customHeight="1">
      <c r="A718" s="491" t="s">
        <v>3888</v>
      </c>
      <c r="B718" s="467" t="s">
        <v>3787</v>
      </c>
      <c r="C718" s="445" t="s">
        <v>3788</v>
      </c>
      <c r="D718" s="449" t="s">
        <v>707</v>
      </c>
      <c r="E718" s="419" t="s">
        <v>822</v>
      </c>
      <c r="F718" s="419">
        <v>1</v>
      </c>
      <c r="G718" s="419"/>
      <c r="H718" s="421" t="s">
        <v>968</v>
      </c>
      <c r="I718" s="455" t="s">
        <v>1736</v>
      </c>
      <c r="J718" s="445" t="s">
        <v>613</v>
      </c>
      <c r="K718" s="450" t="s">
        <v>2001</v>
      </c>
      <c r="L718" s="425">
        <f>O718/5</f>
        <v>22.9344</v>
      </c>
      <c r="M718" s="423">
        <v>-10</v>
      </c>
      <c r="N718" s="431">
        <v>39448</v>
      </c>
      <c r="O718" s="425">
        <v>114.672</v>
      </c>
      <c r="P718" s="868" t="s">
        <v>728</v>
      </c>
      <c r="Q718" s="1087"/>
      <c r="R718" s="419"/>
      <c r="S718" s="419"/>
      <c r="T718" s="733"/>
      <c r="U718" s="444"/>
      <c r="V718" s="425"/>
      <c r="W718" s="427"/>
      <c r="X718" s="543"/>
      <c r="Y718" s="445" t="s">
        <v>2900</v>
      </c>
      <c r="Z718" s="445" t="s">
        <v>2433</v>
      </c>
      <c r="AA718" s="496">
        <v>41269</v>
      </c>
      <c r="AB718" s="550"/>
      <c r="AC718" s="881">
        <v>41262</v>
      </c>
      <c r="AD718" s="444">
        <v>41242</v>
      </c>
      <c r="AE718" s="444"/>
      <c r="AF718" s="444"/>
      <c r="AG718" s="423"/>
      <c r="AH718" s="423">
        <v>0</v>
      </c>
      <c r="AI718" s="425"/>
      <c r="AJ718" s="423">
        <f>130.2/8.095</f>
        <v>16.084002470660899</v>
      </c>
      <c r="AK718" s="423">
        <f>AJ718*1000/L718</f>
        <v>701.30469821145959</v>
      </c>
      <c r="AL718" s="423"/>
      <c r="AM718" s="423"/>
      <c r="AN718" s="423"/>
      <c r="AO718" s="419"/>
      <c r="AP718" s="463"/>
      <c r="AQ718" s="782"/>
    </row>
    <row r="719" spans="1:43" s="464" customFormat="1" ht="15" customHeight="1">
      <c r="A719" s="491" t="s">
        <v>3894</v>
      </c>
      <c r="B719" s="467" t="s">
        <v>3789</v>
      </c>
      <c r="C719" s="445" t="s">
        <v>3748</v>
      </c>
      <c r="D719" s="420" t="s">
        <v>707</v>
      </c>
      <c r="E719" s="419" t="s">
        <v>1562</v>
      </c>
      <c r="F719" s="419">
        <v>1</v>
      </c>
      <c r="G719" s="419"/>
      <c r="H719" s="421" t="s">
        <v>968</v>
      </c>
      <c r="I719" s="448" t="s">
        <v>1548</v>
      </c>
      <c r="J719" s="419" t="s">
        <v>2264</v>
      </c>
      <c r="K719" s="450" t="s">
        <v>2001</v>
      </c>
      <c r="L719" s="425">
        <v>732.02200000000005</v>
      </c>
      <c r="M719" s="423">
        <v>0</v>
      </c>
      <c r="N719" s="431">
        <v>39508</v>
      </c>
      <c r="O719" s="425">
        <v>3538.107</v>
      </c>
      <c r="P719" s="868" t="s">
        <v>896</v>
      </c>
      <c r="Q719" s="1087">
        <f>3499.996</f>
        <v>3499.9960000000001</v>
      </c>
      <c r="R719" s="419"/>
      <c r="S719" s="419"/>
      <c r="T719" s="733">
        <v>41278</v>
      </c>
      <c r="U719" s="444">
        <v>41243</v>
      </c>
      <c r="V719" s="425">
        <v>3479.6114246575344</v>
      </c>
      <c r="W719" s="400">
        <f>Q719/V719</f>
        <v>1.0058582907269515</v>
      </c>
      <c r="X719" s="543" t="s">
        <v>728</v>
      </c>
      <c r="Y719" s="419" t="s">
        <v>3630</v>
      </c>
      <c r="Z719" s="445" t="s">
        <v>3749</v>
      </c>
      <c r="AA719" s="496">
        <v>41270</v>
      </c>
      <c r="AB719" s="550"/>
      <c r="AC719" s="881">
        <v>41264</v>
      </c>
      <c r="AD719" s="444">
        <v>41242</v>
      </c>
      <c r="AE719" s="444"/>
      <c r="AF719" s="444"/>
      <c r="AG719" s="423"/>
      <c r="AH719" s="423">
        <v>0</v>
      </c>
      <c r="AI719" s="425"/>
      <c r="AJ719" s="736"/>
      <c r="AK719" s="423"/>
      <c r="AL719" s="423"/>
      <c r="AM719" s="423"/>
      <c r="AN719" s="423"/>
      <c r="AO719" s="419"/>
      <c r="AP719" s="463"/>
      <c r="AQ719" s="782"/>
    </row>
    <row r="720" spans="1:43" s="464" customFormat="1" ht="15" customHeight="1">
      <c r="A720" s="459" t="s">
        <v>765</v>
      </c>
      <c r="B720" s="451" t="s">
        <v>3905</v>
      </c>
      <c r="C720" s="445" t="s">
        <v>3832</v>
      </c>
      <c r="D720" s="420" t="s">
        <v>707</v>
      </c>
      <c r="E720" s="445" t="s">
        <v>603</v>
      </c>
      <c r="F720" s="419">
        <v>1</v>
      </c>
      <c r="G720" s="445" t="s">
        <v>3833</v>
      </c>
      <c r="H720" s="421" t="s">
        <v>968</v>
      </c>
      <c r="I720" s="471" t="s">
        <v>1082</v>
      </c>
      <c r="J720" s="480" t="s">
        <v>687</v>
      </c>
      <c r="K720" s="421" t="s">
        <v>1289</v>
      </c>
      <c r="L720" s="425">
        <f>O720/5</f>
        <v>37.516800000000003</v>
      </c>
      <c r="M720" s="423">
        <v>7</v>
      </c>
      <c r="N720" s="431">
        <v>39448</v>
      </c>
      <c r="O720" s="425">
        <v>187.584</v>
      </c>
      <c r="P720" s="548" t="s">
        <v>1314</v>
      </c>
      <c r="Q720" s="1087"/>
      <c r="R720" s="419"/>
      <c r="S720" s="419"/>
      <c r="T720" s="733"/>
      <c r="U720" s="444"/>
      <c r="V720" s="425"/>
      <c r="W720" s="427"/>
      <c r="X720" s="543"/>
      <c r="Y720" s="419" t="s">
        <v>1048</v>
      </c>
      <c r="Z720" s="419" t="s">
        <v>1049</v>
      </c>
      <c r="AA720" s="496">
        <v>39658</v>
      </c>
      <c r="AB720" s="550">
        <v>41263</v>
      </c>
      <c r="AC720" s="881">
        <v>41226</v>
      </c>
      <c r="AD720" s="444">
        <v>40679</v>
      </c>
      <c r="AE720" s="444"/>
      <c r="AF720" s="455"/>
      <c r="AG720" s="423"/>
      <c r="AH720" s="423">
        <v>1.4</v>
      </c>
      <c r="AI720" s="425">
        <f>10750/AH720</f>
        <v>7678.5714285714294</v>
      </c>
      <c r="AJ720" s="736"/>
      <c r="AK720" s="423"/>
      <c r="AL720" s="423"/>
      <c r="AM720" s="423"/>
      <c r="AN720" s="423">
        <v>0</v>
      </c>
      <c r="AO720" s="419" t="s">
        <v>1047</v>
      </c>
      <c r="AP720" s="463"/>
      <c r="AQ720" s="51"/>
    </row>
    <row r="721" spans="1:43" s="464" customFormat="1" ht="27" customHeight="1">
      <c r="A721" s="459" t="s">
        <v>53</v>
      </c>
      <c r="B721" s="451" t="s">
        <v>3906</v>
      </c>
      <c r="C721" s="445" t="s">
        <v>3797</v>
      </c>
      <c r="D721" s="420" t="s">
        <v>707</v>
      </c>
      <c r="E721" s="445" t="s">
        <v>1110</v>
      </c>
      <c r="F721" s="419">
        <v>1</v>
      </c>
      <c r="G721" s="445" t="s">
        <v>3799</v>
      </c>
      <c r="H721" s="421" t="s">
        <v>968</v>
      </c>
      <c r="I721" s="455" t="s">
        <v>1059</v>
      </c>
      <c r="J721" s="445" t="s">
        <v>889</v>
      </c>
      <c r="K721" s="450" t="s">
        <v>2001</v>
      </c>
      <c r="L721" s="425">
        <f>O721/5</f>
        <v>44.449200000000005</v>
      </c>
      <c r="M721" s="423">
        <v>4</v>
      </c>
      <c r="N721" s="431">
        <v>39448</v>
      </c>
      <c r="O721" s="425">
        <v>222.24600000000001</v>
      </c>
      <c r="P721" s="868" t="s">
        <v>728</v>
      </c>
      <c r="Q721" s="1087">
        <f>88.731</f>
        <v>88.730999999999995</v>
      </c>
      <c r="R721" s="425"/>
      <c r="S721" s="425"/>
      <c r="T721" s="733">
        <v>41332</v>
      </c>
      <c r="U721" s="444">
        <v>40178</v>
      </c>
      <c r="V721" s="425">
        <v>76.898400000000009</v>
      </c>
      <c r="W721" s="400">
        <f t="shared" ref="W721:W730" si="41">Q721/V721</f>
        <v>1.1538731625105332</v>
      </c>
      <c r="X721" s="428" t="s">
        <v>896</v>
      </c>
      <c r="Y721" s="445" t="s">
        <v>3798</v>
      </c>
      <c r="Z721" s="445" t="s">
        <v>202</v>
      </c>
      <c r="AA721" s="479">
        <v>40164</v>
      </c>
      <c r="AB721" s="550">
        <v>41267</v>
      </c>
      <c r="AC721" s="881">
        <v>41247</v>
      </c>
      <c r="AD721" s="444">
        <v>41107</v>
      </c>
      <c r="AE721" s="444"/>
      <c r="AF721" s="444"/>
      <c r="AG721" s="423"/>
      <c r="AH721" s="423">
        <v>0</v>
      </c>
      <c r="AI721" s="425"/>
      <c r="AJ721" s="736"/>
      <c r="AK721" s="423"/>
      <c r="AL721" s="423"/>
      <c r="AM721" s="423"/>
      <c r="AN721" s="423"/>
      <c r="AO721" s="419"/>
      <c r="AP721" s="463"/>
      <c r="AQ721" s="782"/>
    </row>
    <row r="722" spans="1:43" s="464" customFormat="1" ht="27" customHeight="1">
      <c r="A722" s="491" t="s">
        <v>3892</v>
      </c>
      <c r="B722" s="451" t="s">
        <v>3907</v>
      </c>
      <c r="C722" s="445" t="s">
        <v>3824</v>
      </c>
      <c r="D722" s="420" t="s">
        <v>707</v>
      </c>
      <c r="E722" s="419" t="s">
        <v>3825</v>
      </c>
      <c r="F722" s="419">
        <v>1</v>
      </c>
      <c r="G722" s="419"/>
      <c r="H722" s="421" t="s">
        <v>968</v>
      </c>
      <c r="I722" s="455" t="s">
        <v>1736</v>
      </c>
      <c r="J722" s="445" t="s">
        <v>1069</v>
      </c>
      <c r="K722" s="450" t="s">
        <v>2001</v>
      </c>
      <c r="L722" s="425">
        <f>O722/5</f>
        <v>1776.0304000000001</v>
      </c>
      <c r="M722" s="423">
        <v>117</v>
      </c>
      <c r="N722" s="431">
        <v>39448</v>
      </c>
      <c r="O722" s="425">
        <v>8880.152</v>
      </c>
      <c r="P722" s="868" t="s">
        <v>728</v>
      </c>
      <c r="Q722" s="1087">
        <f>8695.39</f>
        <v>8695.39</v>
      </c>
      <c r="R722" s="425"/>
      <c r="S722" s="425"/>
      <c r="T722" s="733">
        <v>41264</v>
      </c>
      <c r="U722" s="444">
        <v>41243</v>
      </c>
      <c r="V722" s="425">
        <v>8710.5309988365534</v>
      </c>
      <c r="W722" s="400">
        <f t="shared" si="41"/>
        <v>0.99826175937625661</v>
      </c>
      <c r="X722" s="543" t="s">
        <v>728</v>
      </c>
      <c r="Y722" s="445" t="s">
        <v>2893</v>
      </c>
      <c r="Z722" s="445" t="s">
        <v>3806</v>
      </c>
      <c r="AA722" s="496">
        <v>41269</v>
      </c>
      <c r="AB722" s="550"/>
      <c r="AC722" s="881">
        <v>41262</v>
      </c>
      <c r="AD722" s="444">
        <v>41242</v>
      </c>
      <c r="AE722" s="444"/>
      <c r="AF722" s="444"/>
      <c r="AG722" s="423"/>
      <c r="AH722" s="423">
        <v>0</v>
      </c>
      <c r="AI722" s="425"/>
      <c r="AJ722" s="736"/>
      <c r="AK722" s="423"/>
      <c r="AL722" s="423"/>
      <c r="AM722" s="423"/>
      <c r="AN722" s="423"/>
      <c r="AO722" s="419"/>
      <c r="AP722" s="463"/>
      <c r="AQ722" s="782"/>
    </row>
    <row r="723" spans="1:43" s="464" customFormat="1" ht="15" customHeight="1">
      <c r="A723" s="491" t="s">
        <v>3890</v>
      </c>
      <c r="B723" s="451" t="s">
        <v>3909</v>
      </c>
      <c r="C723" s="445" t="s">
        <v>3812</v>
      </c>
      <c r="D723" s="420" t="s">
        <v>707</v>
      </c>
      <c r="E723" s="445" t="s">
        <v>2502</v>
      </c>
      <c r="F723" s="419">
        <v>1</v>
      </c>
      <c r="G723" s="419"/>
      <c r="H723" s="421" t="s">
        <v>968</v>
      </c>
      <c r="I723" s="455" t="s">
        <v>1736</v>
      </c>
      <c r="J723" s="445" t="s">
        <v>1069</v>
      </c>
      <c r="K723" s="450" t="s">
        <v>2001</v>
      </c>
      <c r="L723" s="425">
        <f>O723/5</f>
        <v>430.18959999999998</v>
      </c>
      <c r="M723" s="423">
        <v>75</v>
      </c>
      <c r="N723" s="431">
        <v>39448</v>
      </c>
      <c r="O723" s="425">
        <v>2150.9479999999999</v>
      </c>
      <c r="P723" s="868" t="s">
        <v>728</v>
      </c>
      <c r="Q723" s="1087">
        <f>2210.856</f>
        <v>2210.8560000000002</v>
      </c>
      <c r="R723" s="425"/>
      <c r="S723" s="425"/>
      <c r="T723" s="733">
        <v>41263</v>
      </c>
      <c r="U723" s="444">
        <v>41243</v>
      </c>
      <c r="V723" s="425">
        <v>2100.4323226121223</v>
      </c>
      <c r="W723" s="400">
        <f t="shared" si="41"/>
        <v>1.0525718806548139</v>
      </c>
      <c r="X723" s="543" t="s">
        <v>728</v>
      </c>
      <c r="Y723" s="445" t="s">
        <v>2893</v>
      </c>
      <c r="Z723" s="445" t="s">
        <v>3806</v>
      </c>
      <c r="AA723" s="496">
        <v>41269</v>
      </c>
      <c r="AB723" s="550"/>
      <c r="AC723" s="881">
        <v>41262</v>
      </c>
      <c r="AD723" s="444">
        <v>41242</v>
      </c>
      <c r="AE723" s="444"/>
      <c r="AF723" s="444"/>
      <c r="AG723" s="423"/>
      <c r="AH723" s="423">
        <v>0</v>
      </c>
      <c r="AI723" s="425"/>
      <c r="AJ723" s="736"/>
      <c r="AK723" s="423"/>
      <c r="AL723" s="423"/>
      <c r="AM723" s="423"/>
      <c r="AN723" s="423"/>
      <c r="AO723" s="419"/>
      <c r="AP723" s="463"/>
      <c r="AQ723" s="782"/>
    </row>
    <row r="724" spans="1:43" s="464" customFormat="1" ht="29.25" customHeight="1">
      <c r="A724" s="491" t="s">
        <v>3882</v>
      </c>
      <c r="B724" s="451" t="s">
        <v>3908</v>
      </c>
      <c r="C724" s="445" t="s">
        <v>3792</v>
      </c>
      <c r="D724" s="420" t="s">
        <v>707</v>
      </c>
      <c r="E724" s="419" t="s">
        <v>2416</v>
      </c>
      <c r="F724" s="419">
        <v>1</v>
      </c>
      <c r="G724" s="419"/>
      <c r="H724" s="421" t="s">
        <v>968</v>
      </c>
      <c r="I724" s="724" t="s">
        <v>719</v>
      </c>
      <c r="J724" s="513" t="s">
        <v>2145</v>
      </c>
      <c r="K724" s="724" t="s">
        <v>2127</v>
      </c>
      <c r="L724" s="425">
        <f>O724/5</f>
        <v>98.896000000000001</v>
      </c>
      <c r="M724" s="423">
        <v>-7</v>
      </c>
      <c r="N724" s="431">
        <v>39448</v>
      </c>
      <c r="O724" s="425">
        <v>494.48</v>
      </c>
      <c r="P724" s="868" t="s">
        <v>896</v>
      </c>
      <c r="Q724" s="1087">
        <f>480.916</f>
        <v>480.916</v>
      </c>
      <c r="R724" s="425"/>
      <c r="S724" s="425"/>
      <c r="T724" s="733">
        <v>41271</v>
      </c>
      <c r="U724" s="444">
        <v>41243</v>
      </c>
      <c r="V724" s="425">
        <v>487.76627359729781</v>
      </c>
      <c r="W724" s="400">
        <f t="shared" si="41"/>
        <v>0.98595582768202328</v>
      </c>
      <c r="X724" s="543" t="s">
        <v>728</v>
      </c>
      <c r="Y724" s="445" t="s">
        <v>2112</v>
      </c>
      <c r="Z724" s="445" t="s">
        <v>3793</v>
      </c>
      <c r="AA724" s="496">
        <v>41268</v>
      </c>
      <c r="AB724" s="550"/>
      <c r="AC724" s="881">
        <v>41262</v>
      </c>
      <c r="AD724" s="444">
        <v>41246</v>
      </c>
      <c r="AE724" s="444"/>
      <c r="AF724" s="444"/>
      <c r="AG724" s="423"/>
      <c r="AH724" s="423">
        <v>0</v>
      </c>
      <c r="AI724" s="425"/>
      <c r="AJ724" s="736"/>
      <c r="AK724" s="423"/>
      <c r="AL724" s="423"/>
      <c r="AM724" s="423"/>
      <c r="AN724" s="423"/>
      <c r="AO724" s="419"/>
      <c r="AP724" s="463"/>
      <c r="AQ724" s="782"/>
    </row>
    <row r="725" spans="1:43" s="464" customFormat="1" ht="44.25" customHeight="1">
      <c r="A725" s="491" t="s">
        <v>3870</v>
      </c>
      <c r="B725" s="451" t="s">
        <v>3910</v>
      </c>
      <c r="C725" s="445" t="s">
        <v>3777</v>
      </c>
      <c r="D725" s="449" t="s">
        <v>707</v>
      </c>
      <c r="E725" s="419" t="s">
        <v>229</v>
      </c>
      <c r="F725" s="419">
        <v>1</v>
      </c>
      <c r="G725" s="419"/>
      <c r="H725" s="421" t="s">
        <v>968</v>
      </c>
      <c r="I725" s="448" t="s">
        <v>1548</v>
      </c>
      <c r="J725" s="419" t="s">
        <v>2264</v>
      </c>
      <c r="K725" s="455" t="s">
        <v>2001</v>
      </c>
      <c r="L725" s="425">
        <v>2197.4899999999998</v>
      </c>
      <c r="M725" s="423">
        <v>286</v>
      </c>
      <c r="N725" s="431">
        <v>39457</v>
      </c>
      <c r="O725" s="425">
        <v>10987.448</v>
      </c>
      <c r="P725" s="868" t="s">
        <v>728</v>
      </c>
      <c r="Q725" s="1087">
        <f>10053.165+166.959</f>
        <v>10220.124000000002</v>
      </c>
      <c r="R725" s="425"/>
      <c r="S725" s="425"/>
      <c r="T725" s="733">
        <v>41271</v>
      </c>
      <c r="U725" s="444">
        <v>41274</v>
      </c>
      <c r="V725" s="425">
        <v>10923.683298555075</v>
      </c>
      <c r="W725" s="400">
        <f t="shared" si="41"/>
        <v>0.93559321711128918</v>
      </c>
      <c r="X725" s="543" t="s">
        <v>728</v>
      </c>
      <c r="Y725" s="507" t="s">
        <v>3523</v>
      </c>
      <c r="Z725" s="507" t="s">
        <v>3774</v>
      </c>
      <c r="AA725" s="496">
        <v>41266</v>
      </c>
      <c r="AB725" s="550"/>
      <c r="AC725" s="881">
        <v>41262</v>
      </c>
      <c r="AD725" s="444">
        <v>41248</v>
      </c>
      <c r="AE725" s="444"/>
      <c r="AF725" s="444"/>
      <c r="AG725" s="423"/>
      <c r="AH725" s="423">
        <v>0</v>
      </c>
      <c r="AI725" s="425"/>
      <c r="AJ725" s="736"/>
      <c r="AK725" s="423"/>
      <c r="AL725" s="423"/>
      <c r="AM725" s="423"/>
      <c r="AN725" s="423"/>
      <c r="AO725" s="419"/>
      <c r="AP725" s="463"/>
      <c r="AQ725" s="782"/>
    </row>
    <row r="726" spans="1:43" s="464" customFormat="1" ht="45" customHeight="1">
      <c r="A726" s="491" t="s">
        <v>3869</v>
      </c>
      <c r="B726" s="451" t="s">
        <v>3911</v>
      </c>
      <c r="C726" s="445" t="s">
        <v>3772</v>
      </c>
      <c r="D726" s="449" t="s">
        <v>707</v>
      </c>
      <c r="E726" s="419" t="s">
        <v>1627</v>
      </c>
      <c r="F726" s="419">
        <v>1</v>
      </c>
      <c r="G726" s="419"/>
      <c r="H726" s="421" t="s">
        <v>968</v>
      </c>
      <c r="I726" s="455" t="s">
        <v>1059</v>
      </c>
      <c r="J726" s="507" t="s">
        <v>2954</v>
      </c>
      <c r="K726" s="455" t="s">
        <v>2001</v>
      </c>
      <c r="L726" s="425">
        <f>O726/5</f>
        <v>2119.3758000000003</v>
      </c>
      <c r="M726" s="423">
        <v>601</v>
      </c>
      <c r="N726" s="431">
        <v>39448</v>
      </c>
      <c r="O726" s="425">
        <v>10596.879000000001</v>
      </c>
      <c r="P726" s="868" t="s">
        <v>728</v>
      </c>
      <c r="Q726" s="1087">
        <f>10596.379</f>
        <v>10596.379000000001</v>
      </c>
      <c r="R726" s="425"/>
      <c r="S726" s="425"/>
      <c r="T726" s="733">
        <v>41264</v>
      </c>
      <c r="U726" s="444">
        <v>41213</v>
      </c>
      <c r="V726" s="425">
        <v>10009.622253743668</v>
      </c>
      <c r="W726" s="400">
        <f t="shared" si="41"/>
        <v>1.0586192696769232</v>
      </c>
      <c r="X726" s="543" t="s">
        <v>728</v>
      </c>
      <c r="Y726" s="507" t="s">
        <v>3523</v>
      </c>
      <c r="Z726" s="507" t="s">
        <v>3526</v>
      </c>
      <c r="AA726" s="496">
        <v>41266</v>
      </c>
      <c r="AB726" s="550"/>
      <c r="AC726" s="881">
        <v>41242</v>
      </c>
      <c r="AD726" s="444">
        <v>41225</v>
      </c>
      <c r="AE726" s="444"/>
      <c r="AF726" s="444"/>
      <c r="AG726" s="423"/>
      <c r="AH726" s="423">
        <v>0</v>
      </c>
      <c r="AI726" s="425"/>
      <c r="AJ726" s="736"/>
      <c r="AK726" s="423"/>
      <c r="AL726" s="423"/>
      <c r="AM726" s="423"/>
      <c r="AN726" s="423"/>
      <c r="AO726" s="419"/>
      <c r="AP726" s="463"/>
      <c r="AQ726" s="782"/>
    </row>
    <row r="727" spans="1:43" s="464" customFormat="1" ht="33" customHeight="1">
      <c r="A727" s="491" t="s">
        <v>3868</v>
      </c>
      <c r="B727" s="451" t="s">
        <v>3912</v>
      </c>
      <c r="C727" s="445" t="s">
        <v>3764</v>
      </c>
      <c r="D727" s="420" t="s">
        <v>707</v>
      </c>
      <c r="E727" s="445" t="s">
        <v>229</v>
      </c>
      <c r="F727" s="419">
        <v>1</v>
      </c>
      <c r="G727" s="419"/>
      <c r="H727" s="421" t="s">
        <v>968</v>
      </c>
      <c r="I727" s="448" t="s">
        <v>1548</v>
      </c>
      <c r="J727" s="419" t="s">
        <v>2264</v>
      </c>
      <c r="K727" s="450" t="s">
        <v>2001</v>
      </c>
      <c r="L727" s="425">
        <v>437.07799999999997</v>
      </c>
      <c r="M727" s="423">
        <v>0</v>
      </c>
      <c r="N727" s="431">
        <v>39470</v>
      </c>
      <c r="O727" s="425">
        <v>2185.3879999999999</v>
      </c>
      <c r="P727" s="868" t="s">
        <v>728</v>
      </c>
      <c r="Q727" s="1087">
        <f>2078.131</f>
        <v>2078.1309999999999</v>
      </c>
      <c r="R727" s="425"/>
      <c r="S727" s="425"/>
      <c r="T727" s="733">
        <v>41262</v>
      </c>
      <c r="U727" s="444">
        <v>41182</v>
      </c>
      <c r="V727" s="425">
        <v>2050.0754410958903</v>
      </c>
      <c r="W727" s="400">
        <f t="shared" si="41"/>
        <v>1.0136851348695306</v>
      </c>
      <c r="X727" s="543" t="s">
        <v>728</v>
      </c>
      <c r="Y727" s="445" t="s">
        <v>3760</v>
      </c>
      <c r="Z727" s="462" t="s">
        <v>3761</v>
      </c>
      <c r="AA727" s="496">
        <v>41266</v>
      </c>
      <c r="AB727" s="550"/>
      <c r="AC727" s="881">
        <v>41241</v>
      </c>
      <c r="AD727" s="444">
        <v>41221</v>
      </c>
      <c r="AE727" s="444"/>
      <c r="AF727" s="444"/>
      <c r="AG727" s="423"/>
      <c r="AH727" s="423">
        <v>0</v>
      </c>
      <c r="AI727" s="425"/>
      <c r="AJ727" s="736"/>
      <c r="AK727" s="423"/>
      <c r="AL727" s="423"/>
      <c r="AM727" s="423"/>
      <c r="AN727" s="423"/>
      <c r="AO727" s="419"/>
      <c r="AP727" s="463"/>
      <c r="AQ727" s="782"/>
    </row>
    <row r="728" spans="1:43" s="464" customFormat="1" ht="27.75" customHeight="1">
      <c r="A728" s="491" t="s">
        <v>3901</v>
      </c>
      <c r="B728" s="451" t="s">
        <v>3913</v>
      </c>
      <c r="C728" s="445" t="s">
        <v>4024</v>
      </c>
      <c r="D728" s="449" t="s">
        <v>707</v>
      </c>
      <c r="E728" s="445" t="s">
        <v>229</v>
      </c>
      <c r="F728" s="419">
        <v>1</v>
      </c>
      <c r="G728" s="445" t="s">
        <v>3930</v>
      </c>
      <c r="H728" s="421" t="s">
        <v>968</v>
      </c>
      <c r="I728" s="448" t="s">
        <v>1548</v>
      </c>
      <c r="J728" s="419" t="s">
        <v>2264</v>
      </c>
      <c r="K728" s="450" t="s">
        <v>2001</v>
      </c>
      <c r="L728" s="425">
        <v>982.99900000000002</v>
      </c>
      <c r="M728" s="423">
        <v>0</v>
      </c>
      <c r="N728" s="431">
        <v>39521</v>
      </c>
      <c r="O728" s="425">
        <v>4914.9939999999997</v>
      </c>
      <c r="P728" s="868" t="s">
        <v>728</v>
      </c>
      <c r="Q728" s="1087">
        <f>2268.183+2465.909</f>
        <v>4734.0920000000006</v>
      </c>
      <c r="R728" s="425"/>
      <c r="S728" s="425"/>
      <c r="T728" s="733">
        <v>41262</v>
      </c>
      <c r="U728" s="444">
        <v>41213</v>
      </c>
      <c r="V728" s="425">
        <v>4556.8063232876711</v>
      </c>
      <c r="W728" s="400">
        <f t="shared" si="41"/>
        <v>1.0389056861614474</v>
      </c>
      <c r="X728" s="543" t="s">
        <v>728</v>
      </c>
      <c r="Y728" s="445" t="s">
        <v>2893</v>
      </c>
      <c r="Z728" s="462" t="s">
        <v>3083</v>
      </c>
      <c r="AA728" s="496">
        <v>41270</v>
      </c>
      <c r="AB728" s="550"/>
      <c r="AC728" s="881">
        <v>41228</v>
      </c>
      <c r="AD728" s="444">
        <v>41211</v>
      </c>
      <c r="AE728" s="444"/>
      <c r="AF728" s="444"/>
      <c r="AG728" s="423"/>
      <c r="AH728" s="423">
        <v>0</v>
      </c>
      <c r="AI728" s="425"/>
      <c r="AJ728" s="736"/>
      <c r="AK728" s="423"/>
      <c r="AL728" s="423"/>
      <c r="AM728" s="423"/>
      <c r="AN728" s="423"/>
      <c r="AO728" s="419"/>
      <c r="AP728" s="463"/>
      <c r="AQ728" s="782"/>
    </row>
    <row r="729" spans="1:43" s="464" customFormat="1" ht="15" customHeight="1">
      <c r="A729" s="491" t="s">
        <v>3857</v>
      </c>
      <c r="B729" s="451" t="s">
        <v>3914</v>
      </c>
      <c r="C729" s="445" t="s">
        <v>3739</v>
      </c>
      <c r="D729" s="449" t="s">
        <v>707</v>
      </c>
      <c r="E729" s="445" t="s">
        <v>1113</v>
      </c>
      <c r="F729" s="419">
        <v>1</v>
      </c>
      <c r="G729" s="419"/>
      <c r="H729" s="421" t="s">
        <v>968</v>
      </c>
      <c r="I729" s="471" t="s">
        <v>1548</v>
      </c>
      <c r="J729" s="419" t="s">
        <v>235</v>
      </c>
      <c r="K729" s="450" t="s">
        <v>882</v>
      </c>
      <c r="L729" s="425">
        <f>O729/5</f>
        <v>1033.4944</v>
      </c>
      <c r="M729" s="423">
        <v>0</v>
      </c>
      <c r="N729" s="431">
        <v>39448</v>
      </c>
      <c r="O729" s="425">
        <v>5167.4719999999998</v>
      </c>
      <c r="P729" s="868" t="s">
        <v>728</v>
      </c>
      <c r="Q729" s="1087">
        <f>4163.451+935.882</f>
        <v>5099.3329999999996</v>
      </c>
      <c r="R729" s="425"/>
      <c r="S729" s="425"/>
      <c r="T729" s="733">
        <v>41248</v>
      </c>
      <c r="U729" s="444">
        <v>41274</v>
      </c>
      <c r="V729" s="425">
        <v>5170.3034915068492</v>
      </c>
      <c r="W729" s="400">
        <f t="shared" si="41"/>
        <v>0.98627343798610057</v>
      </c>
      <c r="X729" s="543" t="s">
        <v>728</v>
      </c>
      <c r="Y729" s="445" t="s">
        <v>2674</v>
      </c>
      <c r="Z729" s="934" t="s">
        <v>3740</v>
      </c>
      <c r="AA729" s="496">
        <v>41254</v>
      </c>
      <c r="AB729" s="550"/>
      <c r="AC729" s="881">
        <v>41246</v>
      </c>
      <c r="AD729" s="444">
        <v>41197</v>
      </c>
      <c r="AE729" s="444"/>
      <c r="AF729" s="444"/>
      <c r="AG729" s="423"/>
      <c r="AH729" s="423">
        <v>0</v>
      </c>
      <c r="AI729" s="425"/>
      <c r="AJ729" s="736"/>
      <c r="AK729" s="423"/>
      <c r="AL729" s="423"/>
      <c r="AM729" s="423"/>
      <c r="AN729" s="423"/>
      <c r="AO729" s="419"/>
      <c r="AP729" s="463"/>
      <c r="AQ729" s="782"/>
    </row>
    <row r="730" spans="1:43" s="464" customFormat="1" ht="27.75" customHeight="1">
      <c r="A730" s="491" t="s">
        <v>3856</v>
      </c>
      <c r="B730" s="451" t="s">
        <v>3915</v>
      </c>
      <c r="C730" s="445" t="s">
        <v>3736</v>
      </c>
      <c r="D730" s="449" t="s">
        <v>707</v>
      </c>
      <c r="E730" s="445" t="s">
        <v>3737</v>
      </c>
      <c r="F730" s="419">
        <v>1</v>
      </c>
      <c r="G730" s="419"/>
      <c r="H730" s="421" t="s">
        <v>968</v>
      </c>
      <c r="I730" s="455" t="s">
        <v>1736</v>
      </c>
      <c r="J730" s="445" t="s">
        <v>611</v>
      </c>
      <c r="K730" s="450" t="s">
        <v>2001</v>
      </c>
      <c r="L730" s="425">
        <f>O730/5</f>
        <v>535.75760000000002</v>
      </c>
      <c r="M730" s="423">
        <v>8</v>
      </c>
      <c r="N730" s="431">
        <v>39448</v>
      </c>
      <c r="O730" s="425">
        <v>2678.788</v>
      </c>
      <c r="P730" s="868" t="s">
        <v>728</v>
      </c>
      <c r="Q730" s="1087">
        <f>2484.103</f>
        <v>2484.1030000000001</v>
      </c>
      <c r="R730" s="425"/>
      <c r="S730" s="425"/>
      <c r="T730" s="733">
        <v>41248</v>
      </c>
      <c r="U730" s="444">
        <v>41090</v>
      </c>
      <c r="V730" s="425">
        <v>2401.1533751773318</v>
      </c>
      <c r="W730" s="400">
        <f t="shared" si="41"/>
        <v>1.0345457419256037</v>
      </c>
      <c r="X730" s="428" t="s">
        <v>896</v>
      </c>
      <c r="Y730" s="445" t="s">
        <v>2674</v>
      </c>
      <c r="Z730" s="934" t="s">
        <v>3738</v>
      </c>
      <c r="AA730" s="496">
        <v>41254</v>
      </c>
      <c r="AB730" s="550"/>
      <c r="AC730" s="881">
        <v>41246</v>
      </c>
      <c r="AD730" s="444">
        <v>41225</v>
      </c>
      <c r="AE730" s="444"/>
      <c r="AF730" s="444"/>
      <c r="AG730" s="423"/>
      <c r="AH730" s="423">
        <v>0</v>
      </c>
      <c r="AI730" s="425"/>
      <c r="AJ730" s="736"/>
      <c r="AK730" s="423"/>
      <c r="AL730" s="423"/>
      <c r="AM730" s="423"/>
      <c r="AN730" s="423"/>
      <c r="AO730" s="419"/>
      <c r="AP730" s="463"/>
      <c r="AQ730" s="782"/>
    </row>
    <row r="731" spans="1:43" s="464" customFormat="1" ht="29.25" customHeight="1">
      <c r="A731" s="491" t="s">
        <v>2678</v>
      </c>
      <c r="B731" s="467" t="s">
        <v>3955</v>
      </c>
      <c r="C731" s="445" t="s">
        <v>2688</v>
      </c>
      <c r="D731" s="420" t="s">
        <v>707</v>
      </c>
      <c r="E731" s="419" t="s">
        <v>229</v>
      </c>
      <c r="F731" s="419">
        <v>1</v>
      </c>
      <c r="G731" s="445" t="s">
        <v>3763</v>
      </c>
      <c r="H731" s="421" t="s">
        <v>968</v>
      </c>
      <c r="I731" s="448" t="s">
        <v>1548</v>
      </c>
      <c r="J731" s="419" t="s">
        <v>2264</v>
      </c>
      <c r="K731" s="450" t="s">
        <v>2001</v>
      </c>
      <c r="L731" s="425">
        <v>171.97</v>
      </c>
      <c r="M731" s="423">
        <v>0</v>
      </c>
      <c r="N731" s="431">
        <v>40087</v>
      </c>
      <c r="O731" s="425">
        <v>558.904</v>
      </c>
      <c r="P731" s="868" t="s">
        <v>728</v>
      </c>
      <c r="Q731" s="1087"/>
      <c r="R731" s="419"/>
      <c r="S731" s="419"/>
      <c r="T731" s="733"/>
      <c r="U731" s="444"/>
      <c r="V731" s="425"/>
      <c r="W731" s="427"/>
      <c r="X731" s="543"/>
      <c r="Y731" s="419" t="s">
        <v>2698</v>
      </c>
      <c r="Z731" s="462" t="s">
        <v>1616</v>
      </c>
      <c r="AA731" s="444">
        <v>40831</v>
      </c>
      <c r="AB731" s="550">
        <v>41242</v>
      </c>
      <c r="AC731" s="881">
        <v>41213</v>
      </c>
      <c r="AD731" s="444">
        <v>40971</v>
      </c>
      <c r="AE731" s="444"/>
      <c r="AF731" s="444"/>
      <c r="AG731" s="423"/>
      <c r="AH731" s="423">
        <v>0</v>
      </c>
      <c r="AI731" s="425"/>
      <c r="AJ731" s="736"/>
      <c r="AK731" s="423"/>
      <c r="AL731" s="423"/>
      <c r="AM731" s="423"/>
      <c r="AN731" s="423"/>
      <c r="AO731" s="419"/>
      <c r="AP731" s="463"/>
      <c r="AQ731" s="782"/>
    </row>
    <row r="732" spans="1:43" s="464" customFormat="1" ht="41.25" customHeight="1">
      <c r="A732" s="491" t="s">
        <v>2679</v>
      </c>
      <c r="B732" s="467" t="s">
        <v>3956</v>
      </c>
      <c r="C732" s="445" t="s">
        <v>2689</v>
      </c>
      <c r="D732" s="449" t="s">
        <v>707</v>
      </c>
      <c r="E732" s="445" t="s">
        <v>229</v>
      </c>
      <c r="F732" s="419">
        <v>1</v>
      </c>
      <c r="G732" s="445" t="s">
        <v>3694</v>
      </c>
      <c r="H732" s="421" t="s">
        <v>968</v>
      </c>
      <c r="I732" s="448" t="s">
        <v>1548</v>
      </c>
      <c r="J732" s="419" t="s">
        <v>2264</v>
      </c>
      <c r="K732" s="421" t="s">
        <v>2001</v>
      </c>
      <c r="L732" s="423">
        <v>271.05500000000001</v>
      </c>
      <c r="M732" s="423">
        <v>0</v>
      </c>
      <c r="N732" s="431">
        <v>40634</v>
      </c>
      <c r="O732" s="425">
        <v>542.10900000000004</v>
      </c>
      <c r="P732" s="493" t="s">
        <v>728</v>
      </c>
      <c r="Q732" s="1087"/>
      <c r="R732" s="425"/>
      <c r="S732" s="425"/>
      <c r="T732" s="733"/>
      <c r="U732" s="444"/>
      <c r="V732" s="425"/>
      <c r="W732" s="419"/>
      <c r="X732" s="543"/>
      <c r="Y732" s="419" t="s">
        <v>2698</v>
      </c>
      <c r="Z732" s="462" t="s">
        <v>3431</v>
      </c>
      <c r="AA732" s="444">
        <v>40835</v>
      </c>
      <c r="AB732" s="733">
        <v>41243</v>
      </c>
      <c r="AC732" s="881"/>
      <c r="AD732" s="444"/>
      <c r="AE732" s="444"/>
      <c r="AF732" s="444"/>
      <c r="AG732" s="419"/>
      <c r="AH732" s="423">
        <v>0</v>
      </c>
      <c r="AI732" s="419"/>
      <c r="AJ732" s="740"/>
      <c r="AK732" s="419"/>
      <c r="AL732" s="419"/>
      <c r="AM732" s="419"/>
      <c r="AN732" s="419"/>
      <c r="AO732" s="419"/>
      <c r="AP732" s="463"/>
      <c r="AQ732" s="466"/>
    </row>
    <row r="733" spans="1:43" s="464" customFormat="1" ht="27.75" customHeight="1">
      <c r="A733" s="491" t="s">
        <v>3862</v>
      </c>
      <c r="B733" s="467" t="s">
        <v>3957</v>
      </c>
      <c r="C733" s="445" t="s">
        <v>3756</v>
      </c>
      <c r="D733" s="420" t="s">
        <v>707</v>
      </c>
      <c r="E733" s="419" t="s">
        <v>1043</v>
      </c>
      <c r="F733" s="419">
        <v>1</v>
      </c>
      <c r="G733" s="419"/>
      <c r="H733" s="421" t="s">
        <v>968</v>
      </c>
      <c r="I733" s="448" t="s">
        <v>1548</v>
      </c>
      <c r="J733" s="419" t="s">
        <v>2264</v>
      </c>
      <c r="K733" s="450" t="s">
        <v>2001</v>
      </c>
      <c r="L733" s="425">
        <f>O733/5</f>
        <v>1015.8896000000001</v>
      </c>
      <c r="M733" s="423">
        <v>0</v>
      </c>
      <c r="N733" s="431">
        <v>39448</v>
      </c>
      <c r="O733" s="425">
        <v>5079.4480000000003</v>
      </c>
      <c r="P733" s="868" t="s">
        <v>896</v>
      </c>
      <c r="Q733" s="1087">
        <f>4837.114</f>
        <v>4837.1139999999996</v>
      </c>
      <c r="R733" s="425"/>
      <c r="S733" s="425"/>
      <c r="T733" s="733">
        <v>41267</v>
      </c>
      <c r="U733" s="444">
        <v>41182</v>
      </c>
      <c r="V733" s="425">
        <v>4826.1714147945204</v>
      </c>
      <c r="W733" s="400">
        <f t="shared" ref="W733:W738" si="42">Q733/V733</f>
        <v>1.0022673428407318</v>
      </c>
      <c r="X733" s="543" t="s">
        <v>728</v>
      </c>
      <c r="Y733" s="419" t="s">
        <v>3630</v>
      </c>
      <c r="Z733" s="462" t="s">
        <v>3749</v>
      </c>
      <c r="AA733" s="496">
        <v>41263</v>
      </c>
      <c r="AB733" s="550"/>
      <c r="AC733" s="881">
        <v>41250</v>
      </c>
      <c r="AD733" s="444">
        <v>41193</v>
      </c>
      <c r="AE733" s="444"/>
      <c r="AF733" s="444"/>
      <c r="AG733" s="423"/>
      <c r="AH733" s="423">
        <v>0</v>
      </c>
      <c r="AI733" s="425"/>
      <c r="AJ733" s="736"/>
      <c r="AK733" s="423"/>
      <c r="AL733" s="423"/>
      <c r="AM733" s="423"/>
      <c r="AN733" s="423"/>
      <c r="AO733" s="419"/>
      <c r="AP733" s="463"/>
      <c r="AQ733" s="782"/>
    </row>
    <row r="734" spans="1:43" s="464" customFormat="1" ht="40.5" customHeight="1">
      <c r="A734" s="491" t="s">
        <v>3866</v>
      </c>
      <c r="B734" s="467" t="s">
        <v>3958</v>
      </c>
      <c r="C734" s="445" t="s">
        <v>3759</v>
      </c>
      <c r="D734" s="420" t="s">
        <v>707</v>
      </c>
      <c r="E734" s="445" t="s">
        <v>229</v>
      </c>
      <c r="F734" s="419">
        <v>1</v>
      </c>
      <c r="G734" s="419"/>
      <c r="H734" s="421" t="s">
        <v>968</v>
      </c>
      <c r="I734" s="448" t="s">
        <v>1548</v>
      </c>
      <c r="J734" s="419" t="s">
        <v>2264</v>
      </c>
      <c r="K734" s="450" t="s">
        <v>2001</v>
      </c>
      <c r="L734" s="425">
        <v>765.93299999999999</v>
      </c>
      <c r="M734" s="423">
        <v>0</v>
      </c>
      <c r="N734" s="431">
        <v>39470</v>
      </c>
      <c r="O734" s="425">
        <v>3829.665</v>
      </c>
      <c r="P734" s="868" t="s">
        <v>728</v>
      </c>
      <c r="Q734" s="1087">
        <f>3623.799</f>
        <v>3623.799</v>
      </c>
      <c r="R734" s="425"/>
      <c r="S734" s="425"/>
      <c r="T734" s="733">
        <v>41262</v>
      </c>
      <c r="U734" s="444">
        <v>41182</v>
      </c>
      <c r="V734" s="425">
        <v>3592.5405369863015</v>
      </c>
      <c r="W734" s="400">
        <f t="shared" si="42"/>
        <v>1.008700935366458</v>
      </c>
      <c r="X734" s="543" t="s">
        <v>728</v>
      </c>
      <c r="Y734" s="445" t="s">
        <v>3760</v>
      </c>
      <c r="Z734" s="462" t="s">
        <v>3761</v>
      </c>
      <c r="AA734" s="496">
        <v>41266</v>
      </c>
      <c r="AB734" s="550"/>
      <c r="AC734" s="881">
        <v>41241</v>
      </c>
      <c r="AD734" s="444">
        <v>41221</v>
      </c>
      <c r="AE734" s="444"/>
      <c r="AF734" s="444"/>
      <c r="AG734" s="423"/>
      <c r="AH734" s="423">
        <v>0</v>
      </c>
      <c r="AI734" s="425"/>
      <c r="AJ734" s="736"/>
      <c r="AK734" s="423"/>
      <c r="AL734" s="423"/>
      <c r="AM734" s="423"/>
      <c r="AN734" s="423"/>
      <c r="AO734" s="419"/>
      <c r="AP734" s="463"/>
      <c r="AQ734" s="782"/>
    </row>
    <row r="735" spans="1:43" s="464" customFormat="1" ht="40.5" customHeight="1">
      <c r="A735" s="491" t="s">
        <v>3867</v>
      </c>
      <c r="B735" s="467" t="s">
        <v>3959</v>
      </c>
      <c r="C735" s="445" t="s">
        <v>3762</v>
      </c>
      <c r="D735" s="420" t="s">
        <v>707</v>
      </c>
      <c r="E735" s="445" t="s">
        <v>229</v>
      </c>
      <c r="F735" s="419">
        <v>1</v>
      </c>
      <c r="G735" s="419"/>
      <c r="H735" s="421" t="s">
        <v>968</v>
      </c>
      <c r="I735" s="448" t="s">
        <v>1548</v>
      </c>
      <c r="J735" s="419" t="s">
        <v>2264</v>
      </c>
      <c r="K735" s="450" t="s">
        <v>2001</v>
      </c>
      <c r="L735" s="425">
        <f>O735/2</f>
        <v>818.56849999999997</v>
      </c>
      <c r="M735" s="423">
        <v>0</v>
      </c>
      <c r="N735" s="431">
        <v>40520</v>
      </c>
      <c r="O735" s="425">
        <v>1637.1369999999999</v>
      </c>
      <c r="P735" s="868" t="s">
        <v>728</v>
      </c>
      <c r="Q735" s="1087">
        <f>1423.15</f>
        <v>1423.15</v>
      </c>
      <c r="R735" s="425"/>
      <c r="S735" s="425"/>
      <c r="T735" s="733">
        <v>41262</v>
      </c>
      <c r="U735" s="444">
        <v>41182</v>
      </c>
      <c r="V735" s="425">
        <v>1484.6365671232877</v>
      </c>
      <c r="W735" s="400">
        <f t="shared" si="42"/>
        <v>0.95858476849830843</v>
      </c>
      <c r="X735" s="543" t="s">
        <v>728</v>
      </c>
      <c r="Y735" s="445" t="s">
        <v>3760</v>
      </c>
      <c r="Z735" s="462" t="s">
        <v>3761</v>
      </c>
      <c r="AA735" s="496">
        <v>41266</v>
      </c>
      <c r="AB735" s="550"/>
      <c r="AC735" s="881">
        <v>41241</v>
      </c>
      <c r="AD735" s="444">
        <v>41221</v>
      </c>
      <c r="AE735" s="444"/>
      <c r="AF735" s="444"/>
      <c r="AG735" s="423"/>
      <c r="AH735" s="423">
        <v>0</v>
      </c>
      <c r="AI735" s="425"/>
      <c r="AJ735" s="736"/>
      <c r="AK735" s="423"/>
      <c r="AL735" s="423"/>
      <c r="AM735" s="423"/>
      <c r="AN735" s="423"/>
      <c r="AO735" s="419"/>
      <c r="AP735" s="463"/>
      <c r="AQ735" s="782"/>
    </row>
    <row r="736" spans="1:43" s="464" customFormat="1" ht="40.5" customHeight="1">
      <c r="A736" s="491" t="s">
        <v>3863</v>
      </c>
      <c r="B736" s="467" t="s">
        <v>3960</v>
      </c>
      <c r="C736" s="445" t="s">
        <v>3830</v>
      </c>
      <c r="D736" s="420" t="s">
        <v>707</v>
      </c>
      <c r="E736" s="419" t="s">
        <v>1043</v>
      </c>
      <c r="F736" s="419">
        <v>1</v>
      </c>
      <c r="G736" s="419"/>
      <c r="H736" s="421" t="s">
        <v>968</v>
      </c>
      <c r="I736" s="471" t="s">
        <v>845</v>
      </c>
      <c r="J736" s="419" t="s">
        <v>346</v>
      </c>
      <c r="K736" s="450" t="s">
        <v>2001</v>
      </c>
      <c r="L736" s="425">
        <f>O736/5</f>
        <v>267.57380000000001</v>
      </c>
      <c r="M736" s="423">
        <v>0</v>
      </c>
      <c r="N736" s="431">
        <v>39448</v>
      </c>
      <c r="O736" s="425">
        <v>1337.8689999999999</v>
      </c>
      <c r="P736" s="868" t="s">
        <v>896</v>
      </c>
      <c r="Q736" s="1087">
        <f>1343.523</f>
        <v>1343.5229999999999</v>
      </c>
      <c r="R736" s="425"/>
      <c r="S736" s="425"/>
      <c r="T736" s="733">
        <v>41289</v>
      </c>
      <c r="U736" s="444">
        <v>41182</v>
      </c>
      <c r="V736" s="425">
        <v>1271.1588197260273</v>
      </c>
      <c r="W736" s="400">
        <f t="shared" si="42"/>
        <v>1.05692772543526</v>
      </c>
      <c r="X736" s="428" t="s">
        <v>896</v>
      </c>
      <c r="Y736" s="419" t="s">
        <v>3684</v>
      </c>
      <c r="Z736" s="462" t="s">
        <v>3831</v>
      </c>
      <c r="AA736" s="496">
        <v>41263</v>
      </c>
      <c r="AB736" s="496"/>
      <c r="AC736" s="881">
        <v>41236</v>
      </c>
      <c r="AD736" s="444">
        <v>41177</v>
      </c>
      <c r="AE736" s="444"/>
      <c r="AF736" s="444"/>
      <c r="AG736" s="423"/>
      <c r="AH736" s="423">
        <v>0</v>
      </c>
      <c r="AI736" s="425"/>
      <c r="AJ736" s="736"/>
      <c r="AK736" s="423"/>
      <c r="AL736" s="423"/>
      <c r="AM736" s="423"/>
      <c r="AN736" s="423"/>
      <c r="AO736" s="419"/>
      <c r="AP736" s="463"/>
      <c r="AQ736" s="782"/>
    </row>
    <row r="737" spans="1:43" s="464" customFormat="1" ht="30.75" customHeight="1">
      <c r="A737" s="491" t="s">
        <v>3891</v>
      </c>
      <c r="B737" s="466" t="s">
        <v>4025</v>
      </c>
      <c r="C737" s="445" t="s">
        <v>3819</v>
      </c>
      <c r="D737" s="420" t="s">
        <v>707</v>
      </c>
      <c r="E737" s="419" t="s">
        <v>2416</v>
      </c>
      <c r="F737" s="419">
        <v>1</v>
      </c>
      <c r="G737" s="419"/>
      <c r="H737" s="421" t="s">
        <v>968</v>
      </c>
      <c r="I737" s="455" t="s">
        <v>1467</v>
      </c>
      <c r="J737" s="445" t="s">
        <v>2584</v>
      </c>
      <c r="K737" s="450" t="s">
        <v>2001</v>
      </c>
      <c r="L737" s="425">
        <f>O737/5</f>
        <v>111.17019999999999</v>
      </c>
      <c r="M737" s="423">
        <v>0</v>
      </c>
      <c r="N737" s="431">
        <v>39448</v>
      </c>
      <c r="O737" s="425">
        <v>555.851</v>
      </c>
      <c r="P737" s="868" t="s">
        <v>728</v>
      </c>
      <c r="Q737" s="1087">
        <f>579.381</f>
        <v>579.38099999999997</v>
      </c>
      <c r="R737" s="425"/>
      <c r="S737" s="425"/>
      <c r="T737" s="733">
        <v>41291</v>
      </c>
      <c r="U737" s="444">
        <v>41274</v>
      </c>
      <c r="V737" s="425">
        <v>556.15557589041089</v>
      </c>
      <c r="W737" s="400">
        <f t="shared" si="42"/>
        <v>1.0417606603555218</v>
      </c>
      <c r="X737" s="543" t="s">
        <v>728</v>
      </c>
      <c r="Y737" s="391" t="s">
        <v>1569</v>
      </c>
      <c r="Z737" s="462" t="s">
        <v>2546</v>
      </c>
      <c r="AA737" s="496">
        <v>41269</v>
      </c>
      <c r="AB737" s="550"/>
      <c r="AC737" s="881">
        <v>41229</v>
      </c>
      <c r="AD737" s="444">
        <v>41101</v>
      </c>
      <c r="AE737" s="444"/>
      <c r="AF737" s="444"/>
      <c r="AG737" s="423"/>
      <c r="AH737" s="423"/>
      <c r="AI737" s="425"/>
      <c r="AJ737" s="423">
        <f>1935.852/6.34</f>
        <v>305.33943217665615</v>
      </c>
      <c r="AK737" s="423">
        <f>AJ737*1000/L737</f>
        <v>2746.5942507673476</v>
      </c>
      <c r="AL737" s="423"/>
      <c r="AM737" s="423"/>
      <c r="AN737" s="423"/>
      <c r="AO737" s="419"/>
      <c r="AP737" s="463"/>
      <c r="AQ737" s="782"/>
    </row>
    <row r="738" spans="1:43" s="464" customFormat="1" ht="30.75" customHeight="1">
      <c r="A738" s="491" t="s">
        <v>2551</v>
      </c>
      <c r="B738" s="443" t="s">
        <v>4026</v>
      </c>
      <c r="C738" s="445" t="s">
        <v>2544</v>
      </c>
      <c r="D738" s="420" t="s">
        <v>707</v>
      </c>
      <c r="E738" s="419" t="s">
        <v>2416</v>
      </c>
      <c r="F738" s="419">
        <v>1</v>
      </c>
      <c r="G738" s="445" t="s">
        <v>3822</v>
      </c>
      <c r="H738" s="421" t="s">
        <v>968</v>
      </c>
      <c r="I738" s="729" t="s">
        <v>1735</v>
      </c>
      <c r="J738" s="419" t="s">
        <v>2545</v>
      </c>
      <c r="K738" s="450" t="s">
        <v>2001</v>
      </c>
      <c r="L738" s="423">
        <f>O738/4</f>
        <v>75.110249999999994</v>
      </c>
      <c r="M738" s="423">
        <v>0</v>
      </c>
      <c r="N738" s="431">
        <v>39814</v>
      </c>
      <c r="O738" s="425">
        <v>300.44099999999997</v>
      </c>
      <c r="P738" s="493" t="s">
        <v>728</v>
      </c>
      <c r="Q738" s="1087">
        <f>251.625</f>
        <v>251.625</v>
      </c>
      <c r="R738" s="425"/>
      <c r="S738" s="425"/>
      <c r="T738" s="733">
        <v>41200</v>
      </c>
      <c r="U738" s="444">
        <v>41182</v>
      </c>
      <c r="V738" s="425">
        <v>281.509101369863</v>
      </c>
      <c r="W738" s="400">
        <f t="shared" si="42"/>
        <v>0.89384321421778989</v>
      </c>
      <c r="X738" s="543" t="s">
        <v>728</v>
      </c>
      <c r="Y738" s="391" t="s">
        <v>1569</v>
      </c>
      <c r="Z738" s="462" t="s">
        <v>2546</v>
      </c>
      <c r="AA738" s="444">
        <v>40746</v>
      </c>
      <c r="AB738" s="733">
        <v>41269</v>
      </c>
      <c r="AC738" s="881">
        <v>41178</v>
      </c>
      <c r="AD738" s="444">
        <v>41200</v>
      </c>
      <c r="AE738" s="444"/>
      <c r="AF738" s="444"/>
      <c r="AG738" s="419"/>
      <c r="AH738" s="423">
        <v>0</v>
      </c>
      <c r="AI738" s="419"/>
      <c r="AJ738" s="740"/>
      <c r="AK738" s="419"/>
      <c r="AL738" s="419"/>
      <c r="AM738" s="419"/>
      <c r="AN738" s="419"/>
      <c r="AO738" s="419"/>
      <c r="AP738" s="463"/>
      <c r="AQ738" s="51"/>
    </row>
    <row r="739" spans="1:43" s="464" customFormat="1" ht="29.25" customHeight="1">
      <c r="A739" s="491" t="s">
        <v>2537</v>
      </c>
      <c r="B739" s="443" t="s">
        <v>4041</v>
      </c>
      <c r="C739" s="419" t="s">
        <v>3620</v>
      </c>
      <c r="D739" s="420" t="s">
        <v>707</v>
      </c>
      <c r="E739" s="445" t="s">
        <v>2421</v>
      </c>
      <c r="F739" s="419">
        <v>1</v>
      </c>
      <c r="G739" s="445" t="s">
        <v>3814</v>
      </c>
      <c r="H739" s="450" t="s">
        <v>968</v>
      </c>
      <c r="I739" s="455" t="s">
        <v>1736</v>
      </c>
      <c r="J739" s="445" t="s">
        <v>611</v>
      </c>
      <c r="K739" s="450" t="s">
        <v>2001</v>
      </c>
      <c r="L739" s="423">
        <v>839.75400000000002</v>
      </c>
      <c r="M739" s="423">
        <v>0</v>
      </c>
      <c r="N739" s="431">
        <v>40648</v>
      </c>
      <c r="O739" s="889">
        <v>1679.508</v>
      </c>
      <c r="P739" s="493" t="s">
        <v>728</v>
      </c>
      <c r="Q739" s="1087"/>
      <c r="R739" s="425"/>
      <c r="S739" s="425"/>
      <c r="T739" s="733"/>
      <c r="U739" s="444"/>
      <c r="V739" s="425"/>
      <c r="W739" s="419"/>
      <c r="X739" s="543"/>
      <c r="Y739" s="445" t="s">
        <v>661</v>
      </c>
      <c r="Z739" s="462" t="s">
        <v>3815</v>
      </c>
      <c r="AA739" s="444">
        <v>40730</v>
      </c>
      <c r="AB739" s="733"/>
      <c r="AC739" s="881">
        <v>41200</v>
      </c>
      <c r="AD739" s="444">
        <v>40820</v>
      </c>
      <c r="AE739" s="444"/>
      <c r="AF739" s="444"/>
      <c r="AG739" s="419"/>
      <c r="AH739" s="423">
        <v>0</v>
      </c>
      <c r="AI739" s="419"/>
      <c r="AJ739" s="740"/>
      <c r="AK739" s="419"/>
      <c r="AL739" s="419"/>
      <c r="AM739" s="419"/>
      <c r="AN739" s="419"/>
      <c r="AO739" s="419"/>
      <c r="AP739" s="463"/>
      <c r="AQ739" s="466"/>
    </row>
    <row r="740" spans="1:43" s="464" customFormat="1" ht="42.75" customHeight="1">
      <c r="A740" s="491" t="s">
        <v>2930</v>
      </c>
      <c r="B740" s="467" t="s">
        <v>4063</v>
      </c>
      <c r="C740" s="445" t="s">
        <v>2928</v>
      </c>
      <c r="D740" s="449" t="s">
        <v>707</v>
      </c>
      <c r="E740" s="445" t="s">
        <v>20</v>
      </c>
      <c r="F740" s="419">
        <v>1</v>
      </c>
      <c r="G740" s="445" t="s">
        <v>3801</v>
      </c>
      <c r="H740" s="421" t="s">
        <v>968</v>
      </c>
      <c r="I740" s="455" t="s">
        <v>1467</v>
      </c>
      <c r="J740" s="419" t="s">
        <v>2128</v>
      </c>
      <c r="K740" s="450" t="s">
        <v>1767</v>
      </c>
      <c r="L740" s="425">
        <f>O740/5</f>
        <v>74.225800000000007</v>
      </c>
      <c r="M740" s="423">
        <v>20</v>
      </c>
      <c r="N740" s="431">
        <v>39448</v>
      </c>
      <c r="O740" s="425">
        <v>371.12900000000002</v>
      </c>
      <c r="P740" s="868" t="s">
        <v>728</v>
      </c>
      <c r="Q740" s="1087"/>
      <c r="R740" s="425"/>
      <c r="S740" s="425"/>
      <c r="T740" s="733"/>
      <c r="U740" s="444"/>
      <c r="V740" s="425"/>
      <c r="W740" s="419"/>
      <c r="X740" s="543"/>
      <c r="Y740" s="445" t="s">
        <v>3802</v>
      </c>
      <c r="Z740" s="462" t="s">
        <v>1091</v>
      </c>
      <c r="AA740" s="444">
        <v>40934</v>
      </c>
      <c r="AB740" s="733">
        <v>41270</v>
      </c>
      <c r="AC740" s="881">
        <v>41246</v>
      </c>
      <c r="AD740" s="444">
        <v>40987</v>
      </c>
      <c r="AE740" s="444"/>
      <c r="AF740" s="444"/>
      <c r="AG740" s="419"/>
      <c r="AH740" s="419">
        <v>0</v>
      </c>
      <c r="AI740" s="419"/>
      <c r="AJ740" s="423">
        <f>24/Exch!B11</f>
        <v>28.424123932970229</v>
      </c>
      <c r="AK740" s="423">
        <f>AJ740*1000/L740</f>
        <v>382.94129444169312</v>
      </c>
      <c r="AL740" s="419"/>
      <c r="AM740" s="419"/>
      <c r="AN740" s="419"/>
      <c r="AO740" s="445"/>
      <c r="AP740" s="463"/>
      <c r="AQ740" s="466"/>
    </row>
    <row r="741" spans="1:43" s="464" customFormat="1" ht="42" customHeight="1">
      <c r="A741" s="491" t="s">
        <v>3878</v>
      </c>
      <c r="B741" s="467" t="s">
        <v>4061</v>
      </c>
      <c r="C741" s="445" t="s">
        <v>3775</v>
      </c>
      <c r="D741" s="449" t="s">
        <v>707</v>
      </c>
      <c r="E741" s="419" t="s">
        <v>229</v>
      </c>
      <c r="F741" s="419">
        <v>1</v>
      </c>
      <c r="G741" s="419"/>
      <c r="H741" s="421" t="s">
        <v>968</v>
      </c>
      <c r="I741" s="448" t="s">
        <v>1548</v>
      </c>
      <c r="J741" s="419" t="s">
        <v>2264</v>
      </c>
      <c r="K741" s="450" t="s">
        <v>2001</v>
      </c>
      <c r="L741" s="425">
        <v>2199.9549999999999</v>
      </c>
      <c r="M741" s="423">
        <v>300</v>
      </c>
      <c r="N741" s="431">
        <v>39645</v>
      </c>
      <c r="O741" s="425">
        <v>10999.772999999999</v>
      </c>
      <c r="P741" s="868" t="s">
        <v>728</v>
      </c>
      <c r="Q741" s="1087">
        <f>10993.21</f>
        <v>10993.21</v>
      </c>
      <c r="R741" s="425"/>
      <c r="S741" s="425"/>
      <c r="T741" s="733">
        <v>41360</v>
      </c>
      <c r="U741" s="444">
        <v>41274</v>
      </c>
      <c r="V741" s="425">
        <v>9458.9427185212971</v>
      </c>
      <c r="W741" s="400">
        <f>Q741/V741</f>
        <v>1.1622028303939822</v>
      </c>
      <c r="X741" s="545" t="s">
        <v>728</v>
      </c>
      <c r="Y741" s="507" t="s">
        <v>3523</v>
      </c>
      <c r="Z741" s="934" t="s">
        <v>3774</v>
      </c>
      <c r="AA741" s="496">
        <v>41268</v>
      </c>
      <c r="AB741" s="550"/>
      <c r="AC741" s="881">
        <v>41262</v>
      </c>
      <c r="AD741" s="444">
        <v>41248</v>
      </c>
      <c r="AE741" s="444"/>
      <c r="AF741" s="444"/>
      <c r="AG741" s="423"/>
      <c r="AH741" s="423">
        <v>0</v>
      </c>
      <c r="AI741" s="425"/>
      <c r="AJ741" s="736"/>
      <c r="AK741" s="423"/>
      <c r="AL741" s="423"/>
      <c r="AM741" s="423"/>
      <c r="AN741" s="423"/>
      <c r="AO741" s="419"/>
      <c r="AP741" s="463"/>
      <c r="AQ741" s="782"/>
    </row>
    <row r="742" spans="1:43" s="464" customFormat="1" ht="40.5" customHeight="1">
      <c r="A742" s="491" t="s">
        <v>3877</v>
      </c>
      <c r="B742" s="467" t="s">
        <v>4062</v>
      </c>
      <c r="C742" s="445" t="s">
        <v>3773</v>
      </c>
      <c r="D742" s="449" t="s">
        <v>707</v>
      </c>
      <c r="E742" s="419" t="s">
        <v>229</v>
      </c>
      <c r="F742" s="419">
        <v>1</v>
      </c>
      <c r="G742" s="419"/>
      <c r="H742" s="421" t="s">
        <v>968</v>
      </c>
      <c r="I742" s="448" t="s">
        <v>1548</v>
      </c>
      <c r="J742" s="419" t="s">
        <v>2264</v>
      </c>
      <c r="K742" s="450" t="s">
        <v>2001</v>
      </c>
      <c r="L742" s="425">
        <v>2238.319</v>
      </c>
      <c r="M742" s="423">
        <v>300</v>
      </c>
      <c r="N742" s="431">
        <v>39457</v>
      </c>
      <c r="O742" s="425">
        <v>11186.593999999999</v>
      </c>
      <c r="P742" s="868" t="s">
        <v>728</v>
      </c>
      <c r="Q742" s="1087">
        <v>10426.911</v>
      </c>
      <c r="R742" s="425"/>
      <c r="S742" s="425"/>
      <c r="T742" s="733">
        <v>41359</v>
      </c>
      <c r="U742" s="444">
        <v>41274</v>
      </c>
      <c r="V742" s="425">
        <v>11126.169655807844</v>
      </c>
      <c r="W742" s="400">
        <f>Q742/V742</f>
        <v>0.93715189706433855</v>
      </c>
      <c r="X742" s="545" t="s">
        <v>728</v>
      </c>
      <c r="Y742" s="507" t="s">
        <v>3523</v>
      </c>
      <c r="Z742" s="934" t="s">
        <v>3774</v>
      </c>
      <c r="AA742" s="496">
        <v>41268</v>
      </c>
      <c r="AB742" s="550"/>
      <c r="AC742" s="881">
        <v>41262</v>
      </c>
      <c r="AD742" s="444">
        <v>41248</v>
      </c>
      <c r="AE742" s="444"/>
      <c r="AF742" s="444"/>
      <c r="AG742" s="423"/>
      <c r="AH742" s="423">
        <v>0</v>
      </c>
      <c r="AI742" s="425"/>
      <c r="AJ742" s="736"/>
      <c r="AK742" s="423"/>
      <c r="AL742" s="423"/>
      <c r="AM742" s="423"/>
      <c r="AN742" s="423"/>
      <c r="AO742" s="419"/>
      <c r="AP742" s="463"/>
      <c r="AQ742" s="782"/>
    </row>
    <row r="743" spans="1:43" s="464" customFormat="1" ht="27.75" customHeight="1">
      <c r="A743" s="491" t="s">
        <v>4055</v>
      </c>
      <c r="B743" s="467" t="s">
        <v>4064</v>
      </c>
      <c r="C743" s="445" t="s">
        <v>4056</v>
      </c>
      <c r="D743" s="449" t="s">
        <v>707</v>
      </c>
      <c r="E743" s="445" t="s">
        <v>1562</v>
      </c>
      <c r="F743" s="419">
        <v>1</v>
      </c>
      <c r="G743" s="419"/>
      <c r="H743" s="421" t="s">
        <v>968</v>
      </c>
      <c r="I743" s="455" t="s">
        <v>1467</v>
      </c>
      <c r="J743" s="445" t="s">
        <v>2584</v>
      </c>
      <c r="K743" s="450" t="s">
        <v>2001</v>
      </c>
      <c r="L743" s="425">
        <f>O743/5</f>
        <v>1295.0682000000002</v>
      </c>
      <c r="M743" s="423">
        <v>0</v>
      </c>
      <c r="N743" s="431">
        <v>39448</v>
      </c>
      <c r="O743" s="425">
        <v>6475.3410000000003</v>
      </c>
      <c r="P743" s="999" t="s">
        <v>728</v>
      </c>
      <c r="Q743" s="1087">
        <v>6497.8050000000003</v>
      </c>
      <c r="R743" s="425"/>
      <c r="S743" s="425"/>
      <c r="T743" s="733">
        <v>41369</v>
      </c>
      <c r="U743" s="444">
        <v>41274</v>
      </c>
      <c r="V743" s="425">
        <v>6478.8891320547955</v>
      </c>
      <c r="W743" s="400">
        <f>Q743/V743</f>
        <v>1.0029196159340985</v>
      </c>
      <c r="X743" s="545" t="s">
        <v>728</v>
      </c>
      <c r="Y743" s="445" t="s">
        <v>2887</v>
      </c>
      <c r="Z743" s="445" t="s">
        <v>4057</v>
      </c>
      <c r="AA743" s="496">
        <v>41379</v>
      </c>
      <c r="AB743" s="550"/>
      <c r="AC743" s="881">
        <v>41262</v>
      </c>
      <c r="AD743" s="444">
        <v>41249</v>
      </c>
      <c r="AE743" s="444"/>
      <c r="AF743" s="444"/>
      <c r="AG743" s="423"/>
      <c r="AH743" s="423">
        <v>0</v>
      </c>
      <c r="AI743" s="425"/>
      <c r="AJ743" s="736"/>
      <c r="AK743" s="423"/>
      <c r="AL743" s="423"/>
      <c r="AM743" s="423"/>
      <c r="AN743" s="423"/>
      <c r="AO743" s="419"/>
      <c r="AP743" s="463"/>
      <c r="AQ743" s="782"/>
    </row>
    <row r="744" spans="1:43" s="464" customFormat="1" ht="27.75" customHeight="1">
      <c r="A744" s="491" t="s">
        <v>3879</v>
      </c>
      <c r="B744" s="467" t="s">
        <v>4090</v>
      </c>
      <c r="C744" s="445" t="s">
        <v>3776</v>
      </c>
      <c r="D744" s="449" t="s">
        <v>707</v>
      </c>
      <c r="E744" s="419" t="s">
        <v>229</v>
      </c>
      <c r="F744" s="419">
        <v>1</v>
      </c>
      <c r="G744" s="419"/>
      <c r="H744" s="421" t="s">
        <v>968</v>
      </c>
      <c r="I744" s="448" t="s">
        <v>1548</v>
      </c>
      <c r="J744" s="419" t="s">
        <v>2264</v>
      </c>
      <c r="K744" s="450" t="s">
        <v>2001</v>
      </c>
      <c r="L744" s="425">
        <v>1918.8869999999999</v>
      </c>
      <c r="M744" s="423">
        <v>300</v>
      </c>
      <c r="N744" s="431">
        <v>39457</v>
      </c>
      <c r="O744" s="425">
        <v>9594.4339999999993</v>
      </c>
      <c r="P744" s="868" t="s">
        <v>728</v>
      </c>
      <c r="Q744" s="1087">
        <f>9578.612</f>
        <v>9578.6119999999992</v>
      </c>
      <c r="R744" s="419"/>
      <c r="S744" s="419"/>
      <c r="T744" s="733">
        <v>41435</v>
      </c>
      <c r="U744" s="444">
        <v>41274</v>
      </c>
      <c r="V744" s="425">
        <v>9536.0109051229119</v>
      </c>
      <c r="W744" s="400">
        <f>Q744/V744</f>
        <v>1.004467391585532</v>
      </c>
      <c r="X744" s="545" t="s">
        <v>728</v>
      </c>
      <c r="Y744" s="507" t="s">
        <v>3523</v>
      </c>
      <c r="Z744" s="507" t="s">
        <v>3774</v>
      </c>
      <c r="AA744" s="496">
        <v>41268</v>
      </c>
      <c r="AB744" s="550"/>
      <c r="AC744" s="881">
        <v>41262</v>
      </c>
      <c r="AD744" s="444">
        <v>41248</v>
      </c>
      <c r="AE744" s="444"/>
      <c r="AF744" s="444"/>
      <c r="AG744" s="423"/>
      <c r="AH744" s="423">
        <v>0</v>
      </c>
      <c r="AI744" s="425"/>
      <c r="AJ744" s="736"/>
      <c r="AK744" s="423"/>
      <c r="AL744" s="423"/>
      <c r="AM744" s="423"/>
      <c r="AN744" s="423"/>
      <c r="AO744" s="419"/>
      <c r="AP744" s="463"/>
      <c r="AQ744" s="782"/>
    </row>
    <row r="745" spans="1:43" s="464" customFormat="1" ht="29.25" customHeight="1">
      <c r="A745" s="491" t="s">
        <v>3865</v>
      </c>
      <c r="B745" s="466" t="s">
        <v>4092</v>
      </c>
      <c r="C745" s="445" t="s">
        <v>3823</v>
      </c>
      <c r="D745" s="420" t="s">
        <v>707</v>
      </c>
      <c r="E745" s="419" t="s">
        <v>1043</v>
      </c>
      <c r="F745" s="419">
        <v>1</v>
      </c>
      <c r="G745" s="419"/>
      <c r="H745" s="421" t="s">
        <v>968</v>
      </c>
      <c r="I745" s="448" t="s">
        <v>1548</v>
      </c>
      <c r="J745" s="419" t="s">
        <v>2264</v>
      </c>
      <c r="K745" s="450" t="s">
        <v>2001</v>
      </c>
      <c r="L745" s="425">
        <v>1559.104</v>
      </c>
      <c r="M745" s="423">
        <v>0</v>
      </c>
      <c r="N745" s="431">
        <v>41216</v>
      </c>
      <c r="O745" s="425">
        <v>6496.268</v>
      </c>
      <c r="P745" s="868" t="s">
        <v>728</v>
      </c>
      <c r="Q745" s="1087">
        <v>6773.277</v>
      </c>
      <c r="R745" s="419"/>
      <c r="S745" s="419"/>
      <c r="T745" s="733">
        <v>41974</v>
      </c>
      <c r="U745" s="444">
        <v>41274</v>
      </c>
      <c r="V745" s="425">
        <v>247.74803287671236</v>
      </c>
      <c r="W745" s="427"/>
      <c r="X745" s="543"/>
      <c r="Y745" s="419" t="s">
        <v>2896</v>
      </c>
      <c r="Z745" s="445" t="s">
        <v>2897</v>
      </c>
      <c r="AA745" s="496">
        <v>41264</v>
      </c>
      <c r="AB745" s="550"/>
      <c r="AC745" s="881">
        <v>41262</v>
      </c>
      <c r="AD745" s="444">
        <v>41247</v>
      </c>
      <c r="AE745" s="444"/>
      <c r="AF745" s="444"/>
      <c r="AG745" s="423"/>
      <c r="AH745" s="423">
        <v>0</v>
      </c>
      <c r="AI745" s="425"/>
      <c r="AJ745" s="736"/>
      <c r="AK745" s="423"/>
      <c r="AL745" s="423"/>
      <c r="AM745" s="423"/>
      <c r="AN745" s="423"/>
      <c r="AO745" s="419"/>
      <c r="AP745" s="463"/>
      <c r="AQ745" s="782"/>
    </row>
    <row r="746" spans="1:43" s="464" customFormat="1" ht="29.25" customHeight="1">
      <c r="A746" s="491" t="s">
        <v>3872</v>
      </c>
      <c r="B746" s="467" t="s">
        <v>4093</v>
      </c>
      <c r="C746" s="445" t="s">
        <v>3768</v>
      </c>
      <c r="D746" s="420" t="s">
        <v>707</v>
      </c>
      <c r="E746" s="419" t="s">
        <v>1043</v>
      </c>
      <c r="F746" s="419">
        <v>1</v>
      </c>
      <c r="G746" s="419"/>
      <c r="H746" s="421" t="s">
        <v>968</v>
      </c>
      <c r="I746" s="448" t="s">
        <v>1548</v>
      </c>
      <c r="J746" s="419" t="s">
        <v>2264</v>
      </c>
      <c r="K746" s="450" t="s">
        <v>2001</v>
      </c>
      <c r="L746" s="425">
        <v>1609.162</v>
      </c>
      <c r="M746" s="423">
        <v>0</v>
      </c>
      <c r="N746" s="431">
        <v>39759</v>
      </c>
      <c r="O746" s="425">
        <v>6704.8410000000003</v>
      </c>
      <c r="P746" s="868" t="s">
        <v>728</v>
      </c>
      <c r="Q746" s="1087">
        <v>6878.3130000000001</v>
      </c>
      <c r="R746" s="419"/>
      <c r="S746" s="419"/>
      <c r="T746" s="733">
        <v>41974</v>
      </c>
      <c r="U746" s="444">
        <v>41274</v>
      </c>
      <c r="V746" s="425">
        <v>6679.1244657534253</v>
      </c>
      <c r="W746" s="427"/>
      <c r="X746" s="543"/>
      <c r="Y746" s="419" t="s">
        <v>2896</v>
      </c>
      <c r="Z746" s="445" t="s">
        <v>2897</v>
      </c>
      <c r="AA746" s="496">
        <v>41267</v>
      </c>
      <c r="AB746" s="550"/>
      <c r="AC746" s="881">
        <v>41262</v>
      </c>
      <c r="AD746" s="444">
        <v>41247</v>
      </c>
      <c r="AE746" s="444"/>
      <c r="AF746" s="444"/>
      <c r="AG746" s="423"/>
      <c r="AH746" s="423">
        <v>0</v>
      </c>
      <c r="AI746" s="425"/>
      <c r="AJ746" s="736"/>
      <c r="AK746" s="423"/>
      <c r="AL746" s="423"/>
      <c r="AM746" s="423"/>
      <c r="AN746" s="423"/>
      <c r="AO746" s="419"/>
      <c r="AP746" s="463"/>
      <c r="AQ746" s="782"/>
    </row>
    <row r="747" spans="1:43" s="464" customFormat="1" ht="39.75" customHeight="1">
      <c r="A747" s="491" t="s">
        <v>3876</v>
      </c>
      <c r="B747" s="467" t="s">
        <v>4102</v>
      </c>
      <c r="C747" s="445" t="s">
        <v>3771</v>
      </c>
      <c r="D747" s="449" t="s">
        <v>707</v>
      </c>
      <c r="E747" s="419" t="s">
        <v>20</v>
      </c>
      <c r="F747" s="419">
        <v>1</v>
      </c>
      <c r="G747" s="419"/>
      <c r="H747" s="421" t="s">
        <v>968</v>
      </c>
      <c r="I747" s="455" t="s">
        <v>1059</v>
      </c>
      <c r="J747" s="507" t="s">
        <v>2954</v>
      </c>
      <c r="K747" s="450" t="s">
        <v>2001</v>
      </c>
      <c r="L747" s="425">
        <f>O747/5</f>
        <v>1204.8672000000001</v>
      </c>
      <c r="M747" s="423">
        <v>300</v>
      </c>
      <c r="N747" s="431">
        <v>39448</v>
      </c>
      <c r="O747" s="425">
        <v>6024.3360000000002</v>
      </c>
      <c r="P747" s="868" t="s">
        <v>728</v>
      </c>
      <c r="Q747" s="1087">
        <f>1377.885+2624.051+1777.211</f>
        <v>5779.1469999999999</v>
      </c>
      <c r="R747" s="419"/>
      <c r="S747" s="419"/>
      <c r="T747" s="733">
        <v>41675</v>
      </c>
      <c r="U747" s="444">
        <v>41274</v>
      </c>
      <c r="V747" s="425">
        <v>6029.6929264627515</v>
      </c>
      <c r="W747" s="400">
        <f>Q747/V747</f>
        <v>0.95844797910633706</v>
      </c>
      <c r="X747" s="545" t="s">
        <v>728</v>
      </c>
      <c r="Y747" s="507" t="s">
        <v>3523</v>
      </c>
      <c r="Z747" s="507" t="s">
        <v>3526</v>
      </c>
      <c r="AA747" s="496">
        <v>41268</v>
      </c>
      <c r="AB747" s="550"/>
      <c r="AC747" s="444">
        <v>41246</v>
      </c>
      <c r="AD747" s="881">
        <v>41207</v>
      </c>
      <c r="AE747" s="444"/>
      <c r="AF747" s="444"/>
      <c r="AG747" s="423"/>
      <c r="AH747" s="423">
        <v>0</v>
      </c>
      <c r="AI747" s="425"/>
      <c r="AJ747" s="736"/>
      <c r="AK747" s="423"/>
      <c r="AL747" s="423"/>
      <c r="AM747" s="423"/>
      <c r="AN747" s="423"/>
      <c r="AO747" s="419"/>
      <c r="AP747" s="463"/>
      <c r="AQ747" s="782"/>
    </row>
    <row r="748" spans="1:43" s="464" customFormat="1" ht="42" customHeight="1">
      <c r="A748" s="459" t="s">
        <v>1078</v>
      </c>
      <c r="B748" s="51">
        <v>18</v>
      </c>
      <c r="C748" s="51" t="s">
        <v>873</v>
      </c>
      <c r="D748" s="54" t="s">
        <v>707</v>
      </c>
      <c r="E748" s="51"/>
      <c r="F748" s="51">
        <v>2</v>
      </c>
      <c r="G748" s="51"/>
      <c r="H748" s="61" t="s">
        <v>1712</v>
      </c>
      <c r="I748" s="68" t="s">
        <v>1736</v>
      </c>
      <c r="J748" s="466" t="s">
        <v>1577</v>
      </c>
      <c r="K748" s="61" t="s">
        <v>1573</v>
      </c>
      <c r="L748" s="361">
        <v>70.155000000000001</v>
      </c>
      <c r="M748" s="92"/>
      <c r="N748" s="864">
        <v>39448</v>
      </c>
      <c r="O748" s="361">
        <f>5*L748</f>
        <v>350.77499999999998</v>
      </c>
      <c r="P748" s="459" t="s">
        <v>1732</v>
      </c>
      <c r="Q748" s="888"/>
      <c r="R748" s="361"/>
      <c r="S748" s="361"/>
      <c r="T748" s="757"/>
      <c r="U748" s="122"/>
      <c r="V748" s="361">
        <v>-7582.121753424658</v>
      </c>
      <c r="W748" s="382"/>
      <c r="X748" s="870"/>
      <c r="Y748" s="51" t="s">
        <v>1361</v>
      </c>
      <c r="Z748" s="51" t="s">
        <v>352</v>
      </c>
      <c r="AA748" s="752">
        <v>39073</v>
      </c>
      <c r="AB748" s="758"/>
      <c r="AC748" s="122"/>
      <c r="AD748" s="891"/>
      <c r="AE748" s="122"/>
      <c r="AF748" s="122"/>
      <c r="AG748" s="92"/>
      <c r="AH748" s="92"/>
      <c r="AI748" s="361"/>
      <c r="AJ748" s="92"/>
      <c r="AK748" s="92"/>
      <c r="AL748" s="92"/>
      <c r="AM748" s="92"/>
      <c r="AN748" s="92"/>
      <c r="AO748" s="51" t="s">
        <v>376</v>
      </c>
      <c r="AP748" s="463"/>
      <c r="AQ748" s="51"/>
    </row>
    <row r="749" spans="1:43" s="464" customFormat="1" ht="42" customHeight="1">
      <c r="A749" s="459" t="s">
        <v>1029</v>
      </c>
      <c r="B749" s="52">
        <v>53</v>
      </c>
      <c r="C749" s="52" t="s">
        <v>1037</v>
      </c>
      <c r="D749" s="55" t="s">
        <v>707</v>
      </c>
      <c r="E749" s="52"/>
      <c r="F749" s="51">
        <v>2</v>
      </c>
      <c r="G749" s="51"/>
      <c r="H749" s="61" t="s">
        <v>1712</v>
      </c>
      <c r="I749" s="60" t="s">
        <v>970</v>
      </c>
      <c r="J749" s="51" t="s">
        <v>970</v>
      </c>
      <c r="K749" s="58" t="s">
        <v>1039</v>
      </c>
      <c r="L749" s="361">
        <v>738.83100000000002</v>
      </c>
      <c r="M749" s="92"/>
      <c r="N749" s="864">
        <v>39448</v>
      </c>
      <c r="O749" s="361">
        <f>4*L749</f>
        <v>2955.3240000000001</v>
      </c>
      <c r="P749" s="1028" t="s">
        <v>728</v>
      </c>
      <c r="Q749" s="981"/>
      <c r="R749" s="52"/>
      <c r="S749" s="52"/>
      <c r="T749" s="1055"/>
      <c r="U749" s="854"/>
      <c r="V749" s="385"/>
      <c r="W749" s="383"/>
      <c r="X749" s="482"/>
      <c r="Y749" s="51" t="s">
        <v>1388</v>
      </c>
      <c r="Z749" s="51" t="s">
        <v>1040</v>
      </c>
      <c r="AA749" s="875">
        <v>39220</v>
      </c>
      <c r="AB749" s="1071"/>
      <c r="AC749" s="854"/>
      <c r="AD749" s="882"/>
      <c r="AE749" s="854"/>
      <c r="AF749" s="854"/>
      <c r="AG749" s="92"/>
      <c r="AH749" s="92">
        <v>300</v>
      </c>
      <c r="AI749" s="361"/>
      <c r="AJ749" s="92"/>
      <c r="AK749" s="92"/>
      <c r="AL749" s="92"/>
      <c r="AM749" s="92"/>
      <c r="AN749" s="92"/>
      <c r="AO749" s="52" t="s">
        <v>1038</v>
      </c>
      <c r="AP749" s="463"/>
      <c r="AQ749" s="51"/>
    </row>
    <row r="750" spans="1:43" s="464" customFormat="1" ht="27.75" customHeight="1">
      <c r="A750" s="459" t="s">
        <v>648</v>
      </c>
      <c r="B750" s="52">
        <v>80</v>
      </c>
      <c r="C750" s="52" t="s">
        <v>662</v>
      </c>
      <c r="D750" s="55" t="s">
        <v>707</v>
      </c>
      <c r="E750" s="52"/>
      <c r="F750" s="51">
        <v>2</v>
      </c>
      <c r="G750" s="51"/>
      <c r="H750" s="61" t="s">
        <v>1712</v>
      </c>
      <c r="I750" s="68" t="s">
        <v>845</v>
      </c>
      <c r="J750" s="51" t="s">
        <v>346</v>
      </c>
      <c r="K750" s="58" t="s">
        <v>842</v>
      </c>
      <c r="L750" s="361">
        <v>353.52699999999999</v>
      </c>
      <c r="M750" s="92"/>
      <c r="N750" s="864">
        <v>39448</v>
      </c>
      <c r="O750" s="361">
        <f>5*L750</f>
        <v>1767.635</v>
      </c>
      <c r="P750" s="459" t="s">
        <v>1731</v>
      </c>
      <c r="Q750" s="981"/>
      <c r="R750" s="52"/>
      <c r="S750" s="52"/>
      <c r="T750" s="1055"/>
      <c r="U750" s="854"/>
      <c r="V750" s="385"/>
      <c r="W750" s="383"/>
      <c r="X750" s="482"/>
      <c r="Y750" s="51" t="s">
        <v>650</v>
      </c>
      <c r="Z750" s="51" t="s">
        <v>652</v>
      </c>
      <c r="AA750" s="875">
        <v>39347</v>
      </c>
      <c r="AB750" s="1071"/>
      <c r="AC750" s="854"/>
      <c r="AD750" s="882"/>
      <c r="AE750" s="854"/>
      <c r="AF750" s="854"/>
      <c r="AG750" s="92"/>
      <c r="AH750" s="92">
        <v>53</v>
      </c>
      <c r="AI750" s="361"/>
      <c r="AJ750" s="92"/>
      <c r="AK750" s="92"/>
      <c r="AL750" s="92"/>
      <c r="AM750" s="92"/>
      <c r="AN750" s="92"/>
      <c r="AO750" s="52" t="s">
        <v>651</v>
      </c>
      <c r="AP750" s="463"/>
      <c r="AQ750" s="782"/>
    </row>
    <row r="751" spans="1:43" s="464" customFormat="1" ht="16.5" customHeight="1">
      <c r="A751" s="459" t="s">
        <v>125</v>
      </c>
      <c r="B751" s="52">
        <v>131</v>
      </c>
      <c r="C751" s="302" t="s">
        <v>129</v>
      </c>
      <c r="D751" s="55" t="s">
        <v>707</v>
      </c>
      <c r="E751" s="52" t="s">
        <v>130</v>
      </c>
      <c r="F751" s="51">
        <v>2</v>
      </c>
      <c r="G751" s="51"/>
      <c r="H751" s="61" t="s">
        <v>1712</v>
      </c>
      <c r="I751" s="68" t="s">
        <v>981</v>
      </c>
      <c r="J751" s="51" t="s">
        <v>1173</v>
      </c>
      <c r="K751" s="58" t="s">
        <v>4</v>
      </c>
      <c r="L751" s="361">
        <v>541.79999999999995</v>
      </c>
      <c r="M751" s="92"/>
      <c r="N751" s="864">
        <v>39448</v>
      </c>
      <c r="O751" s="361">
        <f>L751*5</f>
        <v>2709</v>
      </c>
      <c r="P751" s="459" t="s">
        <v>1732</v>
      </c>
      <c r="Q751" s="981"/>
      <c r="R751" s="52"/>
      <c r="S751" s="52"/>
      <c r="T751" s="1055"/>
      <c r="U751" s="854"/>
      <c r="V751" s="385"/>
      <c r="W751" s="383"/>
      <c r="X751" s="482"/>
      <c r="Y751" s="51" t="s">
        <v>1366</v>
      </c>
      <c r="Z751" s="51" t="s">
        <v>515</v>
      </c>
      <c r="AA751" s="875">
        <v>39549</v>
      </c>
      <c r="AB751" s="1071"/>
      <c r="AC751" s="854"/>
      <c r="AD751" s="882"/>
      <c r="AE751" s="854"/>
      <c r="AF751" s="854"/>
      <c r="AG751" s="92"/>
      <c r="AH751" s="92">
        <v>0</v>
      </c>
      <c r="AI751" s="361"/>
      <c r="AJ751" s="92"/>
      <c r="AK751" s="92"/>
      <c r="AL751" s="92"/>
      <c r="AM751" s="92"/>
      <c r="AN751" s="92"/>
      <c r="AO751" s="52"/>
      <c r="AP751" s="463"/>
      <c r="AQ751" s="51"/>
    </row>
    <row r="752" spans="1:43" s="464" customFormat="1" ht="27" customHeight="1">
      <c r="A752" s="459" t="s">
        <v>1252</v>
      </c>
      <c r="B752" s="51">
        <v>166</v>
      </c>
      <c r="C752" s="64" t="s">
        <v>430</v>
      </c>
      <c r="D752" s="54" t="s">
        <v>707</v>
      </c>
      <c r="E752" s="51" t="s">
        <v>1256</v>
      </c>
      <c r="F752" s="51">
        <v>2</v>
      </c>
      <c r="G752" s="51"/>
      <c r="H752" s="61" t="s">
        <v>1712</v>
      </c>
      <c r="I752" s="68" t="s">
        <v>1082</v>
      </c>
      <c r="J752" s="461" t="s">
        <v>687</v>
      </c>
      <c r="K752" s="61" t="s">
        <v>1257</v>
      </c>
      <c r="L752" s="361">
        <f>O752/5</f>
        <v>35.108400000000003</v>
      </c>
      <c r="M752" s="92">
        <v>4</v>
      </c>
      <c r="N752" s="864">
        <v>39448</v>
      </c>
      <c r="O752" s="361">
        <v>175.542</v>
      </c>
      <c r="P752" s="459" t="s">
        <v>1486</v>
      </c>
      <c r="Q752" s="888"/>
      <c r="R752" s="51"/>
      <c r="S752" s="51"/>
      <c r="T752" s="757"/>
      <c r="U752" s="122"/>
      <c r="V752" s="361"/>
      <c r="W752" s="382"/>
      <c r="X752" s="870"/>
      <c r="Y752" s="51" t="s">
        <v>969</v>
      </c>
      <c r="Z752" s="51" t="s">
        <v>1285</v>
      </c>
      <c r="AA752" s="752">
        <v>39767</v>
      </c>
      <c r="AB752" s="758"/>
      <c r="AC752" s="122"/>
      <c r="AD752" s="122"/>
      <c r="AE752" s="752"/>
      <c r="AF752" s="122"/>
      <c r="AG752" s="92"/>
      <c r="AH752" s="92">
        <v>2.5</v>
      </c>
      <c r="AI752" s="361"/>
      <c r="AJ752" s="361"/>
      <c r="AK752" s="361"/>
      <c r="AL752" s="361"/>
      <c r="AM752" s="92"/>
      <c r="AN752" s="361"/>
      <c r="AO752" s="51" t="s">
        <v>1255</v>
      </c>
      <c r="AP752" s="463"/>
      <c r="AQ752" s="51"/>
    </row>
    <row r="753" spans="1:43" s="464" customFormat="1" ht="15" customHeight="1">
      <c r="A753" s="459" t="s">
        <v>52</v>
      </c>
      <c r="B753" s="52">
        <v>208</v>
      </c>
      <c r="C753" s="51" t="s">
        <v>201</v>
      </c>
      <c r="D753" s="54" t="s">
        <v>707</v>
      </c>
      <c r="E753" s="51" t="s">
        <v>1108</v>
      </c>
      <c r="F753" s="54">
        <v>2</v>
      </c>
      <c r="G753" s="54"/>
      <c r="H753" s="61" t="s">
        <v>1712</v>
      </c>
      <c r="I753" s="68" t="s">
        <v>911</v>
      </c>
      <c r="J753" s="51" t="s">
        <v>1069</v>
      </c>
      <c r="K753" s="61" t="s">
        <v>1109</v>
      </c>
      <c r="L753" s="361">
        <v>57.731999999999999</v>
      </c>
      <c r="M753" s="92">
        <v>9.25</v>
      </c>
      <c r="N753" s="864">
        <v>39448</v>
      </c>
      <c r="O753" s="361">
        <v>250.27099999999999</v>
      </c>
      <c r="P753" s="459" t="s">
        <v>728</v>
      </c>
      <c r="Q753" s="888"/>
      <c r="R753" s="361"/>
      <c r="S753" s="361"/>
      <c r="T753" s="757"/>
      <c r="U753" s="122"/>
      <c r="V753" s="361"/>
      <c r="W753" s="382"/>
      <c r="X753" s="870"/>
      <c r="Y753" s="51" t="s">
        <v>1107</v>
      </c>
      <c r="Z753" s="51" t="s">
        <v>202</v>
      </c>
      <c r="AA753" s="1068">
        <v>40164</v>
      </c>
      <c r="AB753" s="758"/>
      <c r="AC753" s="122"/>
      <c r="AD753" s="122"/>
      <c r="AE753" s="122"/>
      <c r="AF753" s="122"/>
      <c r="AG753" s="92"/>
      <c r="AH753" s="379"/>
      <c r="AI753" s="361"/>
      <c r="AJ753" s="92"/>
      <c r="AK753" s="92"/>
      <c r="AL753" s="361"/>
      <c r="AM753" s="92"/>
      <c r="AN753" s="92"/>
      <c r="AO753" s="51"/>
      <c r="AP753" s="514"/>
      <c r="AQ753" s="51"/>
    </row>
    <row r="754" spans="1:43" s="464" customFormat="1" ht="30.75" customHeight="1">
      <c r="A754" s="491" t="s">
        <v>2110</v>
      </c>
      <c r="B754" s="467">
        <v>238</v>
      </c>
      <c r="C754" s="467" t="s">
        <v>2111</v>
      </c>
      <c r="D754" s="530" t="s">
        <v>707</v>
      </c>
      <c r="E754" s="467" t="s">
        <v>1043</v>
      </c>
      <c r="F754" s="463">
        <v>2</v>
      </c>
      <c r="G754" s="466"/>
      <c r="H754" s="748" t="s">
        <v>1712</v>
      </c>
      <c r="I754" s="510" t="s">
        <v>3238</v>
      </c>
      <c r="J754" s="516" t="s">
        <v>450</v>
      </c>
      <c r="K754" s="748" t="s">
        <v>2114</v>
      </c>
      <c r="L754" s="476">
        <v>72.441999999999993</v>
      </c>
      <c r="M754" s="469">
        <v>0</v>
      </c>
      <c r="N754" s="521">
        <v>40695</v>
      </c>
      <c r="O754" s="476">
        <f>L754*1.6</f>
        <v>115.90719999999999</v>
      </c>
      <c r="P754" s="1050" t="s">
        <v>728</v>
      </c>
      <c r="Q754" s="783"/>
      <c r="R754" s="466"/>
      <c r="S754" s="466"/>
      <c r="T754" s="1054"/>
      <c r="U754" s="470"/>
      <c r="V754" s="476"/>
      <c r="W754" s="486"/>
      <c r="X754" s="898"/>
      <c r="Y754" s="467" t="s">
        <v>2112</v>
      </c>
      <c r="Z754" s="467" t="s">
        <v>2113</v>
      </c>
      <c r="AA754" s="501">
        <v>40481</v>
      </c>
      <c r="AB754" s="1072"/>
      <c r="AC754" s="470"/>
      <c r="AD754" s="470"/>
      <c r="AE754" s="470"/>
      <c r="AF754" s="470"/>
      <c r="AG754" s="469"/>
      <c r="AH754" s="469"/>
      <c r="AI754" s="476"/>
      <c r="AJ754" s="469"/>
      <c r="AK754" s="469"/>
      <c r="AL754" s="469"/>
      <c r="AM754" s="469"/>
      <c r="AN754" s="469"/>
      <c r="AO754" s="466"/>
      <c r="AP754" s="463"/>
      <c r="AQ754" s="51"/>
    </row>
    <row r="755" spans="1:43" s="464" customFormat="1" ht="28.5" customHeight="1">
      <c r="A755" s="491" t="s">
        <v>2507</v>
      </c>
      <c r="B755" s="467">
        <v>250</v>
      </c>
      <c r="C755" s="467" t="s">
        <v>2497</v>
      </c>
      <c r="D755" s="530" t="s">
        <v>707</v>
      </c>
      <c r="E755" s="467" t="s">
        <v>1110</v>
      </c>
      <c r="F755" s="466">
        <v>2</v>
      </c>
      <c r="G755" s="466"/>
      <c r="H755" s="748" t="s">
        <v>1712</v>
      </c>
      <c r="I755" s="68" t="s">
        <v>1489</v>
      </c>
      <c r="J755" s="461" t="s">
        <v>1710</v>
      </c>
      <c r="K755" s="748" t="s">
        <v>689</v>
      </c>
      <c r="L755" s="469">
        <v>31.433</v>
      </c>
      <c r="M755" s="469">
        <v>0</v>
      </c>
      <c r="N755" s="521">
        <v>40422</v>
      </c>
      <c r="O755" s="476">
        <f>L755*2.333</f>
        <v>73.333189000000004</v>
      </c>
      <c r="P755" s="491" t="s">
        <v>1314</v>
      </c>
      <c r="Q755" s="783"/>
      <c r="R755" s="476"/>
      <c r="S755" s="476"/>
      <c r="T755" s="1054"/>
      <c r="U755" s="470"/>
      <c r="V755" s="476"/>
      <c r="W755" s="466"/>
      <c r="X755" s="898"/>
      <c r="Y755" s="467" t="s">
        <v>2498</v>
      </c>
      <c r="Z755" s="466" t="s">
        <v>2499</v>
      </c>
      <c r="AA755" s="470">
        <v>40698</v>
      </c>
      <c r="AB755" s="1054"/>
      <c r="AC755" s="470"/>
      <c r="AD755" s="470"/>
      <c r="AE755" s="470"/>
      <c r="AF755" s="470"/>
      <c r="AG755" s="466"/>
      <c r="AH755" s="469">
        <v>0</v>
      </c>
      <c r="AI755" s="476"/>
      <c r="AJ755" s="469">
        <f>1.25/Exch!B11</f>
        <v>1.4804231215088661</v>
      </c>
      <c r="AK755" s="469">
        <f>AJ755*1000/L755</f>
        <v>47.097735548909306</v>
      </c>
      <c r="AL755" s="466"/>
      <c r="AM755" s="466"/>
      <c r="AN755" s="466"/>
      <c r="AO755" s="466"/>
      <c r="AP755" s="530"/>
      <c r="AQ755" s="51"/>
    </row>
    <row r="756" spans="1:43" s="464" customFormat="1" ht="15" customHeight="1">
      <c r="A756" s="491" t="s">
        <v>2508</v>
      </c>
      <c r="B756" s="468">
        <v>251</v>
      </c>
      <c r="C756" s="467" t="s">
        <v>2500</v>
      </c>
      <c r="D756" s="530" t="s">
        <v>707</v>
      </c>
      <c r="E756" s="467" t="s">
        <v>20</v>
      </c>
      <c r="F756" s="466">
        <v>2</v>
      </c>
      <c r="G756" s="466"/>
      <c r="H756" s="748" t="s">
        <v>1712</v>
      </c>
      <c r="I756" s="68" t="s">
        <v>1489</v>
      </c>
      <c r="J756" s="461" t="s">
        <v>1710</v>
      </c>
      <c r="K756" s="748" t="s">
        <v>689</v>
      </c>
      <c r="L756" s="469">
        <v>57.161999999999999</v>
      </c>
      <c r="M756" s="469">
        <v>3</v>
      </c>
      <c r="N756" s="521">
        <v>40544</v>
      </c>
      <c r="O756" s="476">
        <f>L756*2</f>
        <v>114.324</v>
      </c>
      <c r="P756" s="491" t="s">
        <v>1314</v>
      </c>
      <c r="Q756" s="783"/>
      <c r="R756" s="476"/>
      <c r="S756" s="476"/>
      <c r="T756" s="1054"/>
      <c r="U756" s="470"/>
      <c r="V756" s="476"/>
      <c r="W756" s="466"/>
      <c r="X756" s="898"/>
      <c r="Y756" s="467" t="s">
        <v>2498</v>
      </c>
      <c r="Z756" s="466" t="s">
        <v>2499</v>
      </c>
      <c r="AA756" s="470">
        <v>40698</v>
      </c>
      <c r="AB756" s="1054"/>
      <c r="AC756" s="470"/>
      <c r="AD756" s="470"/>
      <c r="AE756" s="470"/>
      <c r="AF756" s="470"/>
      <c r="AG756" s="466"/>
      <c r="AH756" s="469">
        <v>0</v>
      </c>
      <c r="AI756" s="476"/>
      <c r="AJ756" s="469">
        <f>1.597/Exch!B11</f>
        <v>1.8913885800397274</v>
      </c>
      <c r="AK756" s="469">
        <f>AJ756*1000/L756</f>
        <v>33.088215598469745</v>
      </c>
      <c r="AL756" s="466"/>
      <c r="AM756" s="466"/>
      <c r="AN756" s="466"/>
      <c r="AO756" s="466"/>
      <c r="AP756" s="530"/>
      <c r="AQ756" s="782"/>
    </row>
    <row r="757" spans="1:43" s="464" customFormat="1" ht="27.75" customHeight="1">
      <c r="A757" s="491" t="s">
        <v>2509</v>
      </c>
      <c r="B757" s="468">
        <v>252</v>
      </c>
      <c r="C757" s="467" t="s">
        <v>2501</v>
      </c>
      <c r="D757" s="530" t="s">
        <v>707</v>
      </c>
      <c r="E757" s="467" t="s">
        <v>2502</v>
      </c>
      <c r="F757" s="466">
        <v>2</v>
      </c>
      <c r="G757" s="466"/>
      <c r="H757" s="748" t="s">
        <v>1712</v>
      </c>
      <c r="I757" s="68" t="s">
        <v>1489</v>
      </c>
      <c r="J757" s="461" t="s">
        <v>1710</v>
      </c>
      <c r="K757" s="500" t="s">
        <v>689</v>
      </c>
      <c r="L757" s="469">
        <v>156.18100000000001</v>
      </c>
      <c r="M757" s="469">
        <v>0</v>
      </c>
      <c r="N757" s="521">
        <v>40544</v>
      </c>
      <c r="O757" s="476">
        <f>L757*2</f>
        <v>312.36200000000002</v>
      </c>
      <c r="P757" s="491" t="s">
        <v>1314</v>
      </c>
      <c r="Q757" s="783"/>
      <c r="R757" s="476"/>
      <c r="S757" s="476"/>
      <c r="T757" s="1054"/>
      <c r="U757" s="470"/>
      <c r="V757" s="476"/>
      <c r="W757" s="466"/>
      <c r="X757" s="898"/>
      <c r="Y757" s="467" t="s">
        <v>2498</v>
      </c>
      <c r="Z757" s="466" t="s">
        <v>2499</v>
      </c>
      <c r="AA757" s="470">
        <v>40698</v>
      </c>
      <c r="AB757" s="1054"/>
      <c r="AC757" s="470"/>
      <c r="AD757" s="470"/>
      <c r="AE757" s="470"/>
      <c r="AF757" s="470"/>
      <c r="AG757" s="466"/>
      <c r="AH757" s="469">
        <v>0</v>
      </c>
      <c r="AI757" s="476"/>
      <c r="AJ757" s="469">
        <f>1.325/Exch!B11</f>
        <v>1.5692485087993981</v>
      </c>
      <c r="AK757" s="469">
        <f>AJ757*1000/L757</f>
        <v>10.04762748861512</v>
      </c>
      <c r="AL757" s="466"/>
      <c r="AM757" s="466"/>
      <c r="AN757" s="466"/>
      <c r="AO757" s="466"/>
      <c r="AP757" s="530"/>
      <c r="AQ757" s="51"/>
    </row>
    <row r="758" spans="1:43" s="464" customFormat="1" ht="15" customHeight="1">
      <c r="A758" s="491" t="s">
        <v>2677</v>
      </c>
      <c r="B758" s="468">
        <v>264</v>
      </c>
      <c r="C758" s="467" t="s">
        <v>2676</v>
      </c>
      <c r="D758" s="530" t="s">
        <v>707</v>
      </c>
      <c r="E758" s="467" t="s">
        <v>2681</v>
      </c>
      <c r="F758" s="466">
        <v>2</v>
      </c>
      <c r="G758" s="466"/>
      <c r="H758" s="748" t="s">
        <v>1712</v>
      </c>
      <c r="I758" s="475" t="s">
        <v>1488</v>
      </c>
      <c r="J758" s="516" t="s">
        <v>1710</v>
      </c>
      <c r="K758" s="748" t="s">
        <v>689</v>
      </c>
      <c r="L758" s="469">
        <v>130.86000000000001</v>
      </c>
      <c r="M758" s="469">
        <v>0</v>
      </c>
      <c r="N758" s="521">
        <v>40848</v>
      </c>
      <c r="O758" s="476">
        <f>L758*1.167</f>
        <v>152.71362000000002</v>
      </c>
      <c r="P758" s="491" t="s">
        <v>1314</v>
      </c>
      <c r="Q758" s="783"/>
      <c r="R758" s="476"/>
      <c r="S758" s="476"/>
      <c r="T758" s="1054"/>
      <c r="U758" s="470"/>
      <c r="V758" s="476"/>
      <c r="W758" s="466"/>
      <c r="X758" s="898"/>
      <c r="Y758" s="467" t="s">
        <v>2680</v>
      </c>
      <c r="Z758" s="466" t="s">
        <v>2499</v>
      </c>
      <c r="AA758" s="470">
        <v>40824</v>
      </c>
      <c r="AB758" s="1054"/>
      <c r="AC758" s="933"/>
      <c r="AD758" s="470"/>
      <c r="AE758" s="470"/>
      <c r="AF758" s="470"/>
      <c r="AG758" s="466"/>
      <c r="AH758" s="469">
        <v>0</v>
      </c>
      <c r="AI758" s="466"/>
      <c r="AJ758" s="469">
        <f>2.075/Exch!B11</f>
        <v>2.4575023817047179</v>
      </c>
      <c r="AK758" s="469">
        <f>AJ758*1000/L758</f>
        <v>18.779629999271876</v>
      </c>
      <c r="AL758" s="466"/>
      <c r="AM758" s="466"/>
      <c r="AN758" s="466"/>
      <c r="AO758" s="466"/>
      <c r="AP758" s="463"/>
      <c r="AQ758" s="466"/>
    </row>
    <row r="759" spans="1:43" s="464" customFormat="1" ht="26.25" customHeight="1">
      <c r="A759" s="491" t="s">
        <v>2693</v>
      </c>
      <c r="B759" s="489">
        <v>267</v>
      </c>
      <c r="C759" s="467" t="s">
        <v>2690</v>
      </c>
      <c r="D759" s="530" t="s">
        <v>707</v>
      </c>
      <c r="E759" s="467" t="s">
        <v>822</v>
      </c>
      <c r="F759" s="466">
        <v>2</v>
      </c>
      <c r="G759" s="466"/>
      <c r="H759" s="748" t="s">
        <v>1712</v>
      </c>
      <c r="I759" s="475" t="s">
        <v>1548</v>
      </c>
      <c r="J759" s="516" t="s">
        <v>823</v>
      </c>
      <c r="K759" s="748" t="s">
        <v>746</v>
      </c>
      <c r="L759" s="469">
        <v>664.39</v>
      </c>
      <c r="M759" s="469">
        <v>0</v>
      </c>
      <c r="N759" s="521">
        <v>39448</v>
      </c>
      <c r="O759" s="476">
        <v>3321.95</v>
      </c>
      <c r="P759" s="1049" t="s">
        <v>728</v>
      </c>
      <c r="Q759" s="783"/>
      <c r="R759" s="476"/>
      <c r="S759" s="476"/>
      <c r="T759" s="1054"/>
      <c r="U759" s="470"/>
      <c r="V759" s="476"/>
      <c r="W759" s="466"/>
      <c r="X759" s="898"/>
      <c r="Y759" s="467" t="s">
        <v>2698</v>
      </c>
      <c r="Z759" s="466" t="s">
        <v>1616</v>
      </c>
      <c r="AA759" s="470">
        <v>40835</v>
      </c>
      <c r="AB759" s="1054"/>
      <c r="AC759" s="470"/>
      <c r="AD759" s="470"/>
      <c r="AE759" s="470"/>
      <c r="AF759" s="470"/>
      <c r="AG759" s="466"/>
      <c r="AH759" s="466"/>
      <c r="AI759" s="466"/>
      <c r="AJ759" s="466"/>
      <c r="AK759" s="466"/>
      <c r="AL759" s="466"/>
      <c r="AM759" s="466"/>
      <c r="AN759" s="466"/>
      <c r="AO759" s="466"/>
      <c r="AP759" s="463"/>
      <c r="AQ759" s="466"/>
    </row>
    <row r="760" spans="1:43" s="464" customFormat="1" ht="15" customHeight="1">
      <c r="A760" s="491" t="s">
        <v>2696</v>
      </c>
      <c r="B760" s="489">
        <v>270</v>
      </c>
      <c r="C760" s="467" t="s">
        <v>2691</v>
      </c>
      <c r="D760" s="530" t="s">
        <v>707</v>
      </c>
      <c r="E760" s="467" t="s">
        <v>229</v>
      </c>
      <c r="F760" s="466">
        <v>2</v>
      </c>
      <c r="G760" s="466"/>
      <c r="H760" s="748" t="s">
        <v>1712</v>
      </c>
      <c r="I760" s="500" t="s">
        <v>1548</v>
      </c>
      <c r="J760" s="516" t="s">
        <v>2264</v>
      </c>
      <c r="K760" s="748" t="s">
        <v>2001</v>
      </c>
      <c r="L760" s="469">
        <v>377.4</v>
      </c>
      <c r="M760" s="469">
        <v>0</v>
      </c>
      <c r="N760" s="521">
        <v>39539</v>
      </c>
      <c r="O760" s="476">
        <v>1729.652</v>
      </c>
      <c r="P760" s="1052" t="s">
        <v>896</v>
      </c>
      <c r="Q760" s="783"/>
      <c r="R760" s="476"/>
      <c r="S760" s="476"/>
      <c r="T760" s="1054"/>
      <c r="U760" s="470"/>
      <c r="V760" s="476"/>
      <c r="W760" s="466"/>
      <c r="X760" s="898"/>
      <c r="Y760" s="467" t="s">
        <v>2698</v>
      </c>
      <c r="Z760" s="466" t="s">
        <v>1616</v>
      </c>
      <c r="AA760" s="470">
        <v>40837</v>
      </c>
      <c r="AB760" s="1054"/>
      <c r="AC760" s="470"/>
      <c r="AD760" s="470"/>
      <c r="AE760" s="470"/>
      <c r="AF760" s="470"/>
      <c r="AG760" s="466"/>
      <c r="AH760" s="466"/>
      <c r="AI760" s="466"/>
      <c r="AJ760" s="466"/>
      <c r="AK760" s="466"/>
      <c r="AL760" s="466"/>
      <c r="AM760" s="466"/>
      <c r="AN760" s="466"/>
      <c r="AO760" s="466"/>
      <c r="AP760" s="463"/>
      <c r="AQ760" s="466"/>
    </row>
    <row r="761" spans="1:43" s="464" customFormat="1" ht="27.75" customHeight="1">
      <c r="A761" s="491" t="s">
        <v>2697</v>
      </c>
      <c r="B761" s="489">
        <v>271</v>
      </c>
      <c r="C761" s="467" t="s">
        <v>2840</v>
      </c>
      <c r="D761" s="530" t="s">
        <v>707</v>
      </c>
      <c r="E761" s="467" t="s">
        <v>1998</v>
      </c>
      <c r="F761" s="466">
        <v>2</v>
      </c>
      <c r="G761" s="466"/>
      <c r="H761" s="748" t="s">
        <v>1712</v>
      </c>
      <c r="I761" s="475" t="s">
        <v>911</v>
      </c>
      <c r="J761" s="516" t="s">
        <v>1069</v>
      </c>
      <c r="K761" s="748" t="s">
        <v>2001</v>
      </c>
      <c r="L761" s="469">
        <v>50.997999999999998</v>
      </c>
      <c r="M761" s="469">
        <v>0</v>
      </c>
      <c r="N761" s="521">
        <v>40817</v>
      </c>
      <c r="O761" s="476">
        <v>63.747999999999998</v>
      </c>
      <c r="P761" s="1049" t="s">
        <v>728</v>
      </c>
      <c r="Q761" s="783"/>
      <c r="R761" s="476"/>
      <c r="S761" s="476"/>
      <c r="T761" s="1054"/>
      <c r="U761" s="470"/>
      <c r="V761" s="476"/>
      <c r="W761" s="466"/>
      <c r="X761" s="898"/>
      <c r="Y761" s="467" t="s">
        <v>2699</v>
      </c>
      <c r="Z761" s="466" t="s">
        <v>2700</v>
      </c>
      <c r="AA761" s="470">
        <v>40838</v>
      </c>
      <c r="AB761" s="1054"/>
      <c r="AC761" s="470"/>
      <c r="AD761" s="470"/>
      <c r="AE761" s="470"/>
      <c r="AF761" s="470"/>
      <c r="AG761" s="466"/>
      <c r="AH761" s="466"/>
      <c r="AI761" s="466"/>
      <c r="AJ761" s="466"/>
      <c r="AK761" s="466"/>
      <c r="AL761" s="466"/>
      <c r="AM761" s="466"/>
      <c r="AN761" s="466"/>
      <c r="AO761" s="466"/>
      <c r="AP761" s="463"/>
      <c r="AQ761" s="466"/>
    </row>
    <row r="762" spans="1:43" s="464" customFormat="1" ht="15" customHeight="1">
      <c r="A762" s="491" t="s">
        <v>2704</v>
      </c>
      <c r="B762" s="468">
        <v>272</v>
      </c>
      <c r="C762" s="467" t="s">
        <v>2701</v>
      </c>
      <c r="D762" s="530" t="s">
        <v>707</v>
      </c>
      <c r="E762" s="467" t="s">
        <v>1562</v>
      </c>
      <c r="F762" s="466">
        <v>2</v>
      </c>
      <c r="G762" s="467" t="s">
        <v>3917</v>
      </c>
      <c r="H762" s="748" t="s">
        <v>1712</v>
      </c>
      <c r="I762" s="475" t="s">
        <v>719</v>
      </c>
      <c r="J762" s="467" t="s">
        <v>2145</v>
      </c>
      <c r="K762" s="996" t="s">
        <v>2702</v>
      </c>
      <c r="L762" s="469">
        <v>138.47300000000001</v>
      </c>
      <c r="M762" s="469">
        <v>0</v>
      </c>
      <c r="N762" s="521">
        <v>39448</v>
      </c>
      <c r="O762" s="476">
        <f>L762*5</f>
        <v>692.36500000000001</v>
      </c>
      <c r="P762" s="1049" t="s">
        <v>728</v>
      </c>
      <c r="Q762" s="783"/>
      <c r="R762" s="476"/>
      <c r="S762" s="476"/>
      <c r="T762" s="1054"/>
      <c r="U762" s="470"/>
      <c r="V762" s="476"/>
      <c r="W762" s="466"/>
      <c r="X762" s="898"/>
      <c r="Y762" s="467" t="s">
        <v>2112</v>
      </c>
      <c r="Z762" s="467" t="s">
        <v>2646</v>
      </c>
      <c r="AA762" s="470">
        <v>40851</v>
      </c>
      <c r="AB762" s="1054"/>
      <c r="AC762" s="933"/>
      <c r="AD762" s="470"/>
      <c r="AE762" s="470"/>
      <c r="AF762" s="470"/>
      <c r="AG762" s="466"/>
      <c r="AH762" s="466"/>
      <c r="AI762" s="466"/>
      <c r="AJ762" s="469">
        <f>2.172494/Exch!B11</f>
        <v>2.5729682791514259</v>
      </c>
      <c r="AK762" s="469">
        <f>AJ762*1000/L762</f>
        <v>18.581010587994957</v>
      </c>
      <c r="AL762" s="466"/>
      <c r="AM762" s="466"/>
      <c r="AN762" s="466"/>
      <c r="AO762" s="731"/>
      <c r="AP762" s="463"/>
      <c r="AQ762" s="466"/>
    </row>
    <row r="763" spans="1:43" s="464" customFormat="1" ht="15" customHeight="1">
      <c r="A763" s="491" t="s">
        <v>2720</v>
      </c>
      <c r="B763" s="468">
        <v>273</v>
      </c>
      <c r="C763" s="467" t="s">
        <v>2713</v>
      </c>
      <c r="D763" s="530" t="s">
        <v>707</v>
      </c>
      <c r="E763" s="467" t="s">
        <v>1627</v>
      </c>
      <c r="F763" s="466">
        <v>2</v>
      </c>
      <c r="G763" s="467" t="s">
        <v>3849</v>
      </c>
      <c r="H763" s="748" t="s">
        <v>1712</v>
      </c>
      <c r="I763" s="475" t="s">
        <v>1467</v>
      </c>
      <c r="J763" s="466" t="s">
        <v>2584</v>
      </c>
      <c r="K763" s="748" t="s">
        <v>2001</v>
      </c>
      <c r="L763" s="469">
        <v>362.17500000000001</v>
      </c>
      <c r="M763" s="469">
        <v>0</v>
      </c>
      <c r="N763" s="521">
        <v>39448</v>
      </c>
      <c r="O763" s="476">
        <f>L763*5</f>
        <v>1810.875</v>
      </c>
      <c r="P763" s="1049" t="s">
        <v>728</v>
      </c>
      <c r="Q763" s="783"/>
      <c r="R763" s="476"/>
      <c r="S763" s="476"/>
      <c r="T763" s="1054"/>
      <c r="U763" s="470"/>
      <c r="V763" s="476"/>
      <c r="W763" s="466"/>
      <c r="X763" s="898"/>
      <c r="Y763" s="467" t="s">
        <v>2112</v>
      </c>
      <c r="Z763" s="467" t="s">
        <v>2585</v>
      </c>
      <c r="AA763" s="470">
        <v>40857</v>
      </c>
      <c r="AB763" s="1054"/>
      <c r="AC763" s="933"/>
      <c r="AD763" s="470"/>
      <c r="AE763" s="470"/>
      <c r="AF763" s="470"/>
      <c r="AG763" s="466"/>
      <c r="AH763" s="466"/>
      <c r="AI763" s="466"/>
      <c r="AJ763" s="466"/>
      <c r="AK763" s="466"/>
      <c r="AL763" s="466"/>
      <c r="AM763" s="466"/>
      <c r="AN763" s="466"/>
      <c r="AO763" s="467"/>
      <c r="AP763" s="463"/>
      <c r="AQ763" s="466"/>
    </row>
    <row r="764" spans="1:43" s="464" customFormat="1" ht="15" customHeight="1">
      <c r="A764" s="491" t="s">
        <v>2721</v>
      </c>
      <c r="B764" s="468">
        <v>274</v>
      </c>
      <c r="C764" s="467" t="s">
        <v>2714</v>
      </c>
      <c r="D764" s="530" t="s">
        <v>707</v>
      </c>
      <c r="E764" s="467" t="s">
        <v>1043</v>
      </c>
      <c r="F764" s="466">
        <v>2</v>
      </c>
      <c r="G764" s="466"/>
      <c r="H764" s="748" t="s">
        <v>1712</v>
      </c>
      <c r="I764" s="475" t="s">
        <v>1467</v>
      </c>
      <c r="J764" s="466" t="s">
        <v>2128</v>
      </c>
      <c r="K764" s="748" t="s">
        <v>2001</v>
      </c>
      <c r="L764" s="469">
        <v>44.430999999999997</v>
      </c>
      <c r="M764" s="469">
        <v>2</v>
      </c>
      <c r="N764" s="521">
        <v>39448</v>
      </c>
      <c r="O764" s="476">
        <f>L764*5</f>
        <v>222.15499999999997</v>
      </c>
      <c r="P764" s="1049" t="s">
        <v>728</v>
      </c>
      <c r="Q764" s="783"/>
      <c r="R764" s="476"/>
      <c r="S764" s="476"/>
      <c r="T764" s="1054"/>
      <c r="U764" s="470"/>
      <c r="V764" s="476"/>
      <c r="W764" s="466"/>
      <c r="X764" s="898"/>
      <c r="Y764" s="467" t="s">
        <v>2112</v>
      </c>
      <c r="Z764" s="468" t="s">
        <v>2753</v>
      </c>
      <c r="AA764" s="470">
        <v>40859</v>
      </c>
      <c r="AB764" s="1054"/>
      <c r="AC764" s="933"/>
      <c r="AD764" s="470"/>
      <c r="AE764" s="470"/>
      <c r="AF764" s="470"/>
      <c r="AG764" s="466"/>
      <c r="AH764" s="469">
        <v>0</v>
      </c>
      <c r="AI764" s="466"/>
      <c r="AJ764" s="466"/>
      <c r="AK764" s="466"/>
      <c r="AL764" s="466"/>
      <c r="AM764" s="466"/>
      <c r="AN764" s="466"/>
      <c r="AO764" s="467"/>
      <c r="AP764" s="463"/>
      <c r="AQ764" s="466"/>
    </row>
    <row r="765" spans="1:43" s="464" customFormat="1" ht="29.25" customHeight="1">
      <c r="A765" s="491" t="s">
        <v>2722</v>
      </c>
      <c r="B765" s="468">
        <v>275</v>
      </c>
      <c r="C765" s="467" t="s">
        <v>2715</v>
      </c>
      <c r="D765" s="530" t="s">
        <v>707</v>
      </c>
      <c r="E765" s="467" t="s">
        <v>1043</v>
      </c>
      <c r="F765" s="466">
        <v>2</v>
      </c>
      <c r="G765" s="466"/>
      <c r="H765" s="748" t="s">
        <v>1712</v>
      </c>
      <c r="I765" s="475" t="s">
        <v>1483</v>
      </c>
      <c r="J765" s="466" t="s">
        <v>2717</v>
      </c>
      <c r="K765" s="748" t="s">
        <v>2001</v>
      </c>
      <c r="L765" s="469">
        <v>356.29399999999998</v>
      </c>
      <c r="M765" s="469">
        <v>0</v>
      </c>
      <c r="N765" s="521">
        <v>39448</v>
      </c>
      <c r="O765" s="476">
        <f>L765*5</f>
        <v>1781.4699999999998</v>
      </c>
      <c r="P765" s="1049" t="s">
        <v>728</v>
      </c>
      <c r="Q765" s="783"/>
      <c r="R765" s="476"/>
      <c r="S765" s="476"/>
      <c r="T765" s="1054"/>
      <c r="U765" s="470"/>
      <c r="V765" s="476"/>
      <c r="W765" s="466"/>
      <c r="X765" s="898"/>
      <c r="Y765" s="467" t="s">
        <v>2112</v>
      </c>
      <c r="Z765" s="467" t="s">
        <v>2716</v>
      </c>
      <c r="AA765" s="470">
        <v>40859</v>
      </c>
      <c r="AB765" s="1054"/>
      <c r="AC765" s="470"/>
      <c r="AD765" s="470"/>
      <c r="AE765" s="470"/>
      <c r="AF765" s="470"/>
      <c r="AG765" s="466"/>
      <c r="AH765" s="466"/>
      <c r="AI765" s="466"/>
      <c r="AJ765" s="466"/>
      <c r="AK765" s="466"/>
      <c r="AL765" s="466"/>
      <c r="AM765" s="466"/>
      <c r="AN765" s="466"/>
      <c r="AO765" s="467"/>
      <c r="AP765" s="463"/>
      <c r="AQ765" s="466"/>
    </row>
    <row r="766" spans="1:43" s="464" customFormat="1" ht="15" customHeight="1">
      <c r="A766" s="491" t="s">
        <v>2732</v>
      </c>
      <c r="B766" s="468">
        <v>276</v>
      </c>
      <c r="C766" s="467" t="s">
        <v>2723</v>
      </c>
      <c r="D766" s="530" t="s">
        <v>707</v>
      </c>
      <c r="E766" s="467" t="s">
        <v>2724</v>
      </c>
      <c r="F766" s="466">
        <v>2</v>
      </c>
      <c r="G766" s="466"/>
      <c r="H766" s="748" t="s">
        <v>1712</v>
      </c>
      <c r="I766" s="475" t="s">
        <v>1483</v>
      </c>
      <c r="J766" s="466" t="s">
        <v>2717</v>
      </c>
      <c r="K766" s="748" t="s">
        <v>2001</v>
      </c>
      <c r="L766" s="469">
        <v>566.06899999999996</v>
      </c>
      <c r="M766" s="469">
        <v>0</v>
      </c>
      <c r="N766" s="521">
        <v>39448</v>
      </c>
      <c r="O766" s="476">
        <f>L766*5</f>
        <v>2830.3449999999998</v>
      </c>
      <c r="P766" s="1049" t="s">
        <v>728</v>
      </c>
      <c r="Q766" s="783"/>
      <c r="R766" s="476"/>
      <c r="S766" s="476"/>
      <c r="T766" s="1054"/>
      <c r="U766" s="470"/>
      <c r="V766" s="476"/>
      <c r="W766" s="466"/>
      <c r="X766" s="898"/>
      <c r="Y766" s="467" t="s">
        <v>2112</v>
      </c>
      <c r="Z766" s="467" t="s">
        <v>2725</v>
      </c>
      <c r="AA766" s="470">
        <v>40859</v>
      </c>
      <c r="AB766" s="1054"/>
      <c r="AC766" s="933"/>
      <c r="AD766" s="470"/>
      <c r="AE766" s="470"/>
      <c r="AF766" s="470"/>
      <c r="AG766" s="466"/>
      <c r="AH766" s="466"/>
      <c r="AI766" s="466"/>
      <c r="AJ766" s="466"/>
      <c r="AK766" s="466"/>
      <c r="AL766" s="466"/>
      <c r="AM766" s="466"/>
      <c r="AN766" s="466"/>
      <c r="AO766" s="467"/>
      <c r="AP766" s="463"/>
      <c r="AQ766" s="466"/>
    </row>
    <row r="767" spans="1:43" s="464" customFormat="1" ht="29.25" customHeight="1">
      <c r="A767" s="491" t="s">
        <v>2734</v>
      </c>
      <c r="B767" s="468">
        <v>277</v>
      </c>
      <c r="C767" s="467" t="s">
        <v>2726</v>
      </c>
      <c r="D767" s="530" t="s">
        <v>707</v>
      </c>
      <c r="E767" s="467" t="s">
        <v>2745</v>
      </c>
      <c r="F767" s="466">
        <v>2</v>
      </c>
      <c r="G767" s="466"/>
      <c r="H767" s="748" t="s">
        <v>1712</v>
      </c>
      <c r="I767" s="475" t="s">
        <v>1548</v>
      </c>
      <c r="J767" s="463" t="s">
        <v>235</v>
      </c>
      <c r="K767" s="518" t="s">
        <v>2747</v>
      </c>
      <c r="L767" s="469">
        <v>1626.4570000000001</v>
      </c>
      <c r="M767" s="469">
        <v>0</v>
      </c>
      <c r="N767" s="521">
        <v>39448</v>
      </c>
      <c r="O767" s="476">
        <v>4879.37</v>
      </c>
      <c r="P767" s="516" t="s">
        <v>896</v>
      </c>
      <c r="Q767" s="783"/>
      <c r="R767" s="476"/>
      <c r="S767" s="476"/>
      <c r="T767" s="1054"/>
      <c r="U767" s="470"/>
      <c r="V767" s="476"/>
      <c r="W767" s="466"/>
      <c r="X767" s="898"/>
      <c r="Y767" s="467" t="s">
        <v>1084</v>
      </c>
      <c r="Z767" s="467" t="s">
        <v>2746</v>
      </c>
      <c r="AA767" s="470">
        <v>40863</v>
      </c>
      <c r="AB767" s="1054"/>
      <c r="AC767" s="933"/>
      <c r="AD767" s="470"/>
      <c r="AE767" s="470"/>
      <c r="AF767" s="470"/>
      <c r="AG767" s="466"/>
      <c r="AH767" s="466"/>
      <c r="AI767" s="466"/>
      <c r="AJ767" s="466"/>
      <c r="AK767" s="466"/>
      <c r="AL767" s="466"/>
      <c r="AM767" s="466"/>
      <c r="AN767" s="466"/>
      <c r="AO767" s="467"/>
      <c r="AP767" s="463"/>
      <c r="AQ767" s="466"/>
    </row>
    <row r="768" spans="1:43" s="464" customFormat="1" ht="30" customHeight="1">
      <c r="A768" s="491" t="s">
        <v>2735</v>
      </c>
      <c r="B768" s="468">
        <v>278</v>
      </c>
      <c r="C768" s="467" t="s">
        <v>2727</v>
      </c>
      <c r="D768" s="530" t="s">
        <v>707</v>
      </c>
      <c r="E768" s="467" t="s">
        <v>2416</v>
      </c>
      <c r="F768" s="466">
        <v>2</v>
      </c>
      <c r="G768" s="466"/>
      <c r="H768" s="748" t="s">
        <v>1712</v>
      </c>
      <c r="I768" s="475" t="s">
        <v>911</v>
      </c>
      <c r="J768" s="463" t="s">
        <v>2750</v>
      </c>
      <c r="K768" s="518" t="s">
        <v>2001</v>
      </c>
      <c r="L768" s="469">
        <v>49.578000000000003</v>
      </c>
      <c r="M768" s="469">
        <v>0</v>
      </c>
      <c r="N768" s="521">
        <v>39448</v>
      </c>
      <c r="O768" s="476">
        <v>247.89</v>
      </c>
      <c r="P768" s="516" t="s">
        <v>896</v>
      </c>
      <c r="Q768" s="783"/>
      <c r="R768" s="476"/>
      <c r="S768" s="476"/>
      <c r="T768" s="1054"/>
      <c r="U768" s="470"/>
      <c r="V768" s="476"/>
      <c r="W768" s="466"/>
      <c r="X768" s="898"/>
      <c r="Y768" s="466" t="s">
        <v>2698</v>
      </c>
      <c r="Z768" s="467" t="s">
        <v>1616</v>
      </c>
      <c r="AA768" s="470">
        <v>40864</v>
      </c>
      <c r="AB768" s="1054"/>
      <c r="AC768" s="933"/>
      <c r="AD768" s="470"/>
      <c r="AE768" s="470"/>
      <c r="AF768" s="470"/>
      <c r="AG768" s="466"/>
      <c r="AH768" s="466"/>
      <c r="AI768" s="466"/>
      <c r="AJ768" s="466"/>
      <c r="AK768" s="466"/>
      <c r="AL768" s="466"/>
      <c r="AM768" s="466"/>
      <c r="AN768" s="466"/>
      <c r="AO768" s="467"/>
      <c r="AP768" s="463"/>
      <c r="AQ768" s="466"/>
    </row>
    <row r="769" spans="1:43" s="464" customFormat="1" ht="27.75" customHeight="1">
      <c r="A769" s="491" t="s">
        <v>2737</v>
      </c>
      <c r="B769" s="468">
        <v>280</v>
      </c>
      <c r="C769" s="467" t="s">
        <v>2729</v>
      </c>
      <c r="D769" s="530" t="s">
        <v>707</v>
      </c>
      <c r="E769" s="467" t="s">
        <v>2751</v>
      </c>
      <c r="F769" s="466">
        <v>2</v>
      </c>
      <c r="G769" s="466"/>
      <c r="H769" s="748" t="s">
        <v>1712</v>
      </c>
      <c r="I769" s="475" t="s">
        <v>911</v>
      </c>
      <c r="J769" s="463" t="s">
        <v>2750</v>
      </c>
      <c r="K769" s="518" t="s">
        <v>2001</v>
      </c>
      <c r="L769" s="469">
        <v>31.12</v>
      </c>
      <c r="M769" s="469">
        <v>0</v>
      </c>
      <c r="N769" s="521">
        <v>39448</v>
      </c>
      <c r="O769" s="476">
        <v>155.602</v>
      </c>
      <c r="P769" s="516" t="s">
        <v>896</v>
      </c>
      <c r="Q769" s="783"/>
      <c r="R769" s="476"/>
      <c r="S769" s="476"/>
      <c r="T769" s="1054"/>
      <c r="U769" s="470"/>
      <c r="V769" s="476"/>
      <c r="W769" s="466"/>
      <c r="X769" s="898"/>
      <c r="Y769" s="466" t="s">
        <v>2698</v>
      </c>
      <c r="Z769" s="467" t="s">
        <v>1616</v>
      </c>
      <c r="AA769" s="470">
        <v>40866</v>
      </c>
      <c r="AB769" s="1054"/>
      <c r="AC769" s="933"/>
      <c r="AD769" s="470"/>
      <c r="AE769" s="470"/>
      <c r="AF769" s="470"/>
      <c r="AG769" s="466"/>
      <c r="AH769" s="466"/>
      <c r="AI769" s="466"/>
      <c r="AJ769" s="466"/>
      <c r="AK769" s="466"/>
      <c r="AL769" s="466"/>
      <c r="AM769" s="466"/>
      <c r="AN769" s="466"/>
      <c r="AO769" s="467"/>
      <c r="AP769" s="463"/>
      <c r="AQ769" s="466"/>
    </row>
    <row r="770" spans="1:43" s="464" customFormat="1" ht="15" customHeight="1">
      <c r="A770" s="491" t="s">
        <v>2741</v>
      </c>
      <c r="B770" s="468">
        <v>282</v>
      </c>
      <c r="C770" s="467" t="s">
        <v>2740</v>
      </c>
      <c r="D770" s="530" t="s">
        <v>707</v>
      </c>
      <c r="E770" s="467" t="s">
        <v>1126</v>
      </c>
      <c r="F770" s="466">
        <v>2</v>
      </c>
      <c r="G770" s="467" t="s">
        <v>3919</v>
      </c>
      <c r="H770" s="748" t="s">
        <v>1712</v>
      </c>
      <c r="I770" s="475" t="s">
        <v>1548</v>
      </c>
      <c r="J770" s="530" t="s">
        <v>823</v>
      </c>
      <c r="K770" s="518" t="s">
        <v>2001</v>
      </c>
      <c r="L770" s="469">
        <v>67.153999999999996</v>
      </c>
      <c r="M770" s="469">
        <v>0</v>
      </c>
      <c r="N770" s="521">
        <v>39448</v>
      </c>
      <c r="O770" s="476">
        <v>335.77100000000002</v>
      </c>
      <c r="P770" s="515" t="s">
        <v>728</v>
      </c>
      <c r="Q770" s="783"/>
      <c r="R770" s="476"/>
      <c r="S770" s="476"/>
      <c r="T770" s="1054"/>
      <c r="U770" s="470"/>
      <c r="V770" s="476"/>
      <c r="W770" s="466"/>
      <c r="X770" s="898"/>
      <c r="Y770" s="467" t="s">
        <v>2112</v>
      </c>
      <c r="Z770" s="467" t="s">
        <v>2646</v>
      </c>
      <c r="AA770" s="470">
        <v>40871</v>
      </c>
      <c r="AB770" s="1054"/>
      <c r="AC770" s="933"/>
      <c r="AD770" s="470"/>
      <c r="AE770" s="470"/>
      <c r="AF770" s="470"/>
      <c r="AG770" s="466"/>
      <c r="AH770" s="466"/>
      <c r="AI770" s="466"/>
      <c r="AJ770" s="466"/>
      <c r="AK770" s="466"/>
      <c r="AL770" s="466"/>
      <c r="AM770" s="466"/>
      <c r="AN770" s="466"/>
      <c r="AO770" s="467"/>
      <c r="AP770" s="463"/>
      <c r="AQ770" s="466"/>
    </row>
    <row r="771" spans="1:43" s="464" customFormat="1" ht="15" customHeight="1">
      <c r="A771" s="491" t="s">
        <v>2744</v>
      </c>
      <c r="B771" s="468">
        <v>284</v>
      </c>
      <c r="C771" s="467" t="s">
        <v>2743</v>
      </c>
      <c r="D771" s="530" t="s">
        <v>707</v>
      </c>
      <c r="E771" s="467" t="s">
        <v>1043</v>
      </c>
      <c r="F771" s="466">
        <v>2</v>
      </c>
      <c r="G771" s="467" t="s">
        <v>3920</v>
      </c>
      <c r="H771" s="748" t="s">
        <v>1712</v>
      </c>
      <c r="I771" s="475" t="s">
        <v>1548</v>
      </c>
      <c r="J771" s="530" t="s">
        <v>823</v>
      </c>
      <c r="K771" s="518" t="s">
        <v>2001</v>
      </c>
      <c r="L771" s="469">
        <v>365.81</v>
      </c>
      <c r="M771" s="469">
        <v>0</v>
      </c>
      <c r="N771" s="521">
        <v>39448</v>
      </c>
      <c r="O771" s="476">
        <v>1829.05</v>
      </c>
      <c r="P771" s="515" t="s">
        <v>728</v>
      </c>
      <c r="Q771" s="783"/>
      <c r="R771" s="476"/>
      <c r="S771" s="476"/>
      <c r="T771" s="1054"/>
      <c r="U771" s="470"/>
      <c r="V771" s="476"/>
      <c r="W771" s="466"/>
      <c r="X771" s="898"/>
      <c r="Y771" s="466" t="s">
        <v>2698</v>
      </c>
      <c r="Z771" s="467" t="s">
        <v>1616</v>
      </c>
      <c r="AA771" s="470">
        <v>40873</v>
      </c>
      <c r="AB771" s="1054"/>
      <c r="AC771" s="933"/>
      <c r="AD771" s="470"/>
      <c r="AE771" s="470"/>
      <c r="AF771" s="470"/>
      <c r="AG771" s="466"/>
      <c r="AH771" s="466"/>
      <c r="AI771" s="466"/>
      <c r="AJ771" s="466"/>
      <c r="AK771" s="466"/>
      <c r="AL771" s="466"/>
      <c r="AM771" s="466"/>
      <c r="AN771" s="466"/>
      <c r="AO771" s="467"/>
      <c r="AP771" s="463"/>
      <c r="AQ771" s="466"/>
    </row>
    <row r="772" spans="1:43" s="464" customFormat="1" ht="15" customHeight="1">
      <c r="A772" s="491" t="s">
        <v>2809</v>
      </c>
      <c r="B772" s="468">
        <v>291</v>
      </c>
      <c r="C772" s="467" t="s">
        <v>2807</v>
      </c>
      <c r="D772" s="530" t="s">
        <v>707</v>
      </c>
      <c r="E772" s="467" t="s">
        <v>2502</v>
      </c>
      <c r="F772" s="466">
        <v>2</v>
      </c>
      <c r="G772" s="467" t="s">
        <v>3918</v>
      </c>
      <c r="H772" s="748" t="s">
        <v>1712</v>
      </c>
      <c r="I772" s="475" t="s">
        <v>1548</v>
      </c>
      <c r="J772" s="530" t="s">
        <v>823</v>
      </c>
      <c r="K772" s="518" t="s">
        <v>746</v>
      </c>
      <c r="L772" s="476">
        <v>749.14200000000005</v>
      </c>
      <c r="M772" s="469">
        <v>60</v>
      </c>
      <c r="N772" s="521">
        <v>39448</v>
      </c>
      <c r="O772" s="476">
        <f>L772*5</f>
        <v>3745.71</v>
      </c>
      <c r="P772" s="516" t="s">
        <v>728</v>
      </c>
      <c r="Q772" s="783"/>
      <c r="R772" s="476"/>
      <c r="S772" s="476"/>
      <c r="T772" s="1054"/>
      <c r="U772" s="470"/>
      <c r="V772" s="476"/>
      <c r="W772" s="466"/>
      <c r="X772" s="898"/>
      <c r="Y772" s="467" t="s">
        <v>2674</v>
      </c>
      <c r="Z772" s="467" t="s">
        <v>2675</v>
      </c>
      <c r="AA772" s="470">
        <v>40884</v>
      </c>
      <c r="AB772" s="1054"/>
      <c r="AC772" s="933"/>
      <c r="AD772" s="470"/>
      <c r="AE772" s="470"/>
      <c r="AF772" s="470"/>
      <c r="AG772" s="466"/>
      <c r="AH772" s="466"/>
      <c r="AI772" s="466"/>
      <c r="AJ772" s="466"/>
      <c r="AK772" s="466"/>
      <c r="AL772" s="466"/>
      <c r="AM772" s="466"/>
      <c r="AN772" s="466"/>
      <c r="AO772" s="467"/>
      <c r="AP772" s="463"/>
      <c r="AQ772" s="466"/>
    </row>
    <row r="773" spans="1:43" s="464" customFormat="1" ht="15" customHeight="1">
      <c r="A773" s="491" t="s">
        <v>2844</v>
      </c>
      <c r="B773" s="468">
        <v>293</v>
      </c>
      <c r="C773" s="467" t="s">
        <v>2843</v>
      </c>
      <c r="D773" s="530" t="s">
        <v>707</v>
      </c>
      <c r="E773" s="467" t="s">
        <v>1043</v>
      </c>
      <c r="F773" s="466">
        <v>2</v>
      </c>
      <c r="G773" s="466"/>
      <c r="H773" s="748" t="s">
        <v>1712</v>
      </c>
      <c r="I773" s="796" t="s">
        <v>256</v>
      </c>
      <c r="J773" s="530" t="s">
        <v>1830</v>
      </c>
      <c r="K773" s="518" t="s">
        <v>882</v>
      </c>
      <c r="L773" s="476">
        <v>74.510999999999996</v>
      </c>
      <c r="M773" s="469">
        <v>5</v>
      </c>
      <c r="N773" s="521">
        <v>39448</v>
      </c>
      <c r="O773" s="476">
        <f>L773*5</f>
        <v>372.55499999999995</v>
      </c>
      <c r="P773" s="516" t="s">
        <v>728</v>
      </c>
      <c r="Q773" s="783"/>
      <c r="R773" s="476"/>
      <c r="S773" s="476"/>
      <c r="T773" s="1054"/>
      <c r="U773" s="470"/>
      <c r="V773" s="476"/>
      <c r="W773" s="466"/>
      <c r="X773" s="898"/>
      <c r="Y773" s="467" t="s">
        <v>2112</v>
      </c>
      <c r="Z773" s="467" t="s">
        <v>2646</v>
      </c>
      <c r="AA773" s="470">
        <v>40892</v>
      </c>
      <c r="AB773" s="1054"/>
      <c r="AC773" s="933"/>
      <c r="AD773" s="470"/>
      <c r="AE773" s="470"/>
      <c r="AF773" s="470"/>
      <c r="AG773" s="466"/>
      <c r="AH773" s="466">
        <v>0</v>
      </c>
      <c r="AI773" s="466"/>
      <c r="AJ773" s="469">
        <f>10.07204/Exch!B11</f>
        <v>11.928704717409728</v>
      </c>
      <c r="AK773" s="469">
        <f>AJ773*1000/L773</f>
        <v>160.0932039216992</v>
      </c>
      <c r="AL773" s="466"/>
      <c r="AM773" s="466"/>
      <c r="AN773" s="466"/>
      <c r="AO773" s="467"/>
      <c r="AP773" s="463"/>
      <c r="AQ773" s="466"/>
    </row>
    <row r="774" spans="1:43" s="464" customFormat="1" ht="15" customHeight="1">
      <c r="A774" s="491" t="s">
        <v>2845</v>
      </c>
      <c r="B774" s="468">
        <v>294</v>
      </c>
      <c r="C774" s="467" t="s">
        <v>2846</v>
      </c>
      <c r="D774" s="530" t="s">
        <v>707</v>
      </c>
      <c r="E774" s="467" t="s">
        <v>2421</v>
      </c>
      <c r="F774" s="466">
        <v>2</v>
      </c>
      <c r="G774" s="466"/>
      <c r="H774" s="748" t="s">
        <v>1712</v>
      </c>
      <c r="I774" s="475" t="s">
        <v>719</v>
      </c>
      <c r="J774" s="530" t="s">
        <v>2145</v>
      </c>
      <c r="K774" s="518" t="s">
        <v>2127</v>
      </c>
      <c r="L774" s="476">
        <v>101.16</v>
      </c>
      <c r="M774" s="469">
        <v>0</v>
      </c>
      <c r="N774" s="521">
        <v>39448</v>
      </c>
      <c r="O774" s="476">
        <f>L774*5</f>
        <v>505.79999999999995</v>
      </c>
      <c r="P774" s="516" t="s">
        <v>728</v>
      </c>
      <c r="Q774" s="783"/>
      <c r="R774" s="476"/>
      <c r="S774" s="476"/>
      <c r="T774" s="1054"/>
      <c r="U774" s="470"/>
      <c r="V774" s="476"/>
      <c r="W774" s="466"/>
      <c r="X774" s="898"/>
      <c r="Y774" s="466" t="s">
        <v>2659</v>
      </c>
      <c r="Z774" s="467" t="s">
        <v>2847</v>
      </c>
      <c r="AA774" s="470">
        <v>40893</v>
      </c>
      <c r="AB774" s="1054"/>
      <c r="AC774" s="933"/>
      <c r="AD774" s="470"/>
      <c r="AE774" s="470"/>
      <c r="AF774" s="470"/>
      <c r="AG774" s="466"/>
      <c r="AH774" s="466">
        <v>0</v>
      </c>
      <c r="AI774" s="466"/>
      <c r="AJ774" s="466"/>
      <c r="AK774" s="466"/>
      <c r="AL774" s="466"/>
      <c r="AM774" s="466"/>
      <c r="AN774" s="466"/>
      <c r="AO774" s="467"/>
      <c r="AP774" s="463"/>
      <c r="AQ774" s="466"/>
    </row>
    <row r="775" spans="1:43" s="464" customFormat="1" ht="15" customHeight="1">
      <c r="A775" s="491" t="s">
        <v>2853</v>
      </c>
      <c r="B775" s="468">
        <v>295</v>
      </c>
      <c r="C775" s="467" t="s">
        <v>2866</v>
      </c>
      <c r="D775" s="530" t="s">
        <v>707</v>
      </c>
      <c r="E775" s="467" t="s">
        <v>1166</v>
      </c>
      <c r="F775" s="466">
        <v>2</v>
      </c>
      <c r="G775" s="466"/>
      <c r="H775" s="748" t="s">
        <v>1712</v>
      </c>
      <c r="I775" s="475" t="s">
        <v>701</v>
      </c>
      <c r="J775" s="530" t="s">
        <v>2868</v>
      </c>
      <c r="K775" s="518" t="s">
        <v>680</v>
      </c>
      <c r="L775" s="476">
        <v>25.635000000000002</v>
      </c>
      <c r="M775" s="469">
        <v>0</v>
      </c>
      <c r="N775" s="521">
        <v>40731</v>
      </c>
      <c r="O775" s="476">
        <f>L775*1.485</f>
        <v>38.067975000000004</v>
      </c>
      <c r="P775" s="516" t="s">
        <v>896</v>
      </c>
      <c r="Q775" s="783"/>
      <c r="R775" s="476"/>
      <c r="S775" s="476"/>
      <c r="T775" s="1054"/>
      <c r="U775" s="470"/>
      <c r="V775" s="476"/>
      <c r="W775" s="466"/>
      <c r="X775" s="898"/>
      <c r="Y775" s="466" t="s">
        <v>2869</v>
      </c>
      <c r="Z775" s="467" t="s">
        <v>202</v>
      </c>
      <c r="AA775" s="470">
        <v>40894</v>
      </c>
      <c r="AB775" s="1054"/>
      <c r="AC775" s="933"/>
      <c r="AD775" s="470"/>
      <c r="AE775" s="470"/>
      <c r="AF775" s="470"/>
      <c r="AG775" s="466"/>
      <c r="AH775" s="466">
        <v>20</v>
      </c>
      <c r="AI775" s="466">
        <f>25000/AH775</f>
        <v>1250</v>
      </c>
      <c r="AJ775" s="469">
        <f>73.2/Exch!B11</f>
        <v>86.69357799555921</v>
      </c>
      <c r="AK775" s="469">
        <f>AJ775*1000/L775</f>
        <v>3381.8442752314886</v>
      </c>
      <c r="AL775" s="476">
        <f>AJ775*1000/AH775</f>
        <v>4334.6788997779604</v>
      </c>
      <c r="AM775" s="466"/>
      <c r="AN775" s="466"/>
      <c r="AO775" s="467"/>
      <c r="AP775" s="463"/>
      <c r="AQ775" s="466"/>
    </row>
    <row r="776" spans="1:43" s="464" customFormat="1" ht="15" customHeight="1">
      <c r="A776" s="491" t="s">
        <v>2865</v>
      </c>
      <c r="B776" s="468">
        <v>296</v>
      </c>
      <c r="C776" s="467" t="s">
        <v>2867</v>
      </c>
      <c r="D776" s="530" t="s">
        <v>707</v>
      </c>
      <c r="E776" s="467" t="s">
        <v>2416</v>
      </c>
      <c r="F776" s="466">
        <v>2</v>
      </c>
      <c r="G776" s="467" t="s">
        <v>3841</v>
      </c>
      <c r="H776" s="748" t="s">
        <v>1712</v>
      </c>
      <c r="I776" s="475" t="s">
        <v>911</v>
      </c>
      <c r="J776" s="530" t="s">
        <v>1070</v>
      </c>
      <c r="K776" s="518" t="s">
        <v>2001</v>
      </c>
      <c r="L776" s="476">
        <v>438.95800000000003</v>
      </c>
      <c r="M776" s="469">
        <v>100</v>
      </c>
      <c r="N776" s="521">
        <v>39448</v>
      </c>
      <c r="O776" s="476">
        <f t="shared" ref="O776:O782" si="43">L776*5</f>
        <v>2194.79</v>
      </c>
      <c r="P776" s="516" t="s">
        <v>728</v>
      </c>
      <c r="Q776" s="783"/>
      <c r="R776" s="476"/>
      <c r="S776" s="476"/>
      <c r="T776" s="1054"/>
      <c r="U776" s="470"/>
      <c r="V776" s="476"/>
      <c r="W776" s="466"/>
      <c r="X776" s="500"/>
      <c r="Y776" s="467" t="s">
        <v>2112</v>
      </c>
      <c r="Z776" s="467" t="s">
        <v>1091</v>
      </c>
      <c r="AA776" s="470">
        <v>40894</v>
      </c>
      <c r="AB776" s="1054"/>
      <c r="AC776" s="933"/>
      <c r="AD776" s="470"/>
      <c r="AE776" s="470"/>
      <c r="AF776" s="470"/>
      <c r="AG776" s="466"/>
      <c r="AH776" s="466">
        <v>0</v>
      </c>
      <c r="AI776" s="466"/>
      <c r="AJ776" s="740"/>
      <c r="AK776" s="466"/>
      <c r="AL776" s="466"/>
      <c r="AM776" s="466"/>
      <c r="AN776" s="466"/>
      <c r="AO776" s="467"/>
      <c r="AP776" s="463"/>
      <c r="AQ776" s="466"/>
    </row>
    <row r="777" spans="1:43" s="464" customFormat="1" ht="15" customHeight="1">
      <c r="A777" s="491" t="s">
        <v>2870</v>
      </c>
      <c r="B777" s="468">
        <v>297</v>
      </c>
      <c r="C777" s="467" t="s">
        <v>2871</v>
      </c>
      <c r="D777" s="530" t="s">
        <v>707</v>
      </c>
      <c r="E777" s="467" t="s">
        <v>2416</v>
      </c>
      <c r="F777" s="466">
        <v>2</v>
      </c>
      <c r="G777" s="466"/>
      <c r="H777" s="748" t="s">
        <v>1712</v>
      </c>
      <c r="I777" s="475" t="s">
        <v>1467</v>
      </c>
      <c r="J777" s="463" t="s">
        <v>2128</v>
      </c>
      <c r="K777" s="518" t="s">
        <v>1767</v>
      </c>
      <c r="L777" s="476">
        <v>484.68700000000001</v>
      </c>
      <c r="M777" s="469">
        <v>4</v>
      </c>
      <c r="N777" s="521">
        <v>39448</v>
      </c>
      <c r="O777" s="476">
        <f t="shared" si="43"/>
        <v>2423.4349999999999</v>
      </c>
      <c r="P777" s="516" t="s">
        <v>728</v>
      </c>
      <c r="Q777" s="783"/>
      <c r="R777" s="476"/>
      <c r="S777" s="476"/>
      <c r="T777" s="1054"/>
      <c r="U777" s="470"/>
      <c r="V777" s="476"/>
      <c r="W777" s="466"/>
      <c r="X777" s="898"/>
      <c r="Y777" s="467" t="s">
        <v>2112</v>
      </c>
      <c r="Z777" s="467" t="s">
        <v>1091</v>
      </c>
      <c r="AA777" s="470">
        <v>40897</v>
      </c>
      <c r="AB777" s="1054"/>
      <c r="AC777" s="933"/>
      <c r="AD777" s="470"/>
      <c r="AE777" s="470"/>
      <c r="AF777" s="470"/>
      <c r="AG777" s="466"/>
      <c r="AH777" s="476">
        <v>0</v>
      </c>
      <c r="AI777" s="476"/>
      <c r="AJ777" s="469">
        <f>76.49777/Exch!B11</f>
        <v>90.599253961493844</v>
      </c>
      <c r="AK777" s="469">
        <f>AJ777*1000/L777</f>
        <v>186.92321841001274</v>
      </c>
      <c r="AL777" s="466"/>
      <c r="AM777" s="466"/>
      <c r="AN777" s="466"/>
      <c r="AO777" s="467"/>
      <c r="AP777" s="463"/>
      <c r="AQ777" s="466"/>
    </row>
    <row r="778" spans="1:43" s="464" customFormat="1" ht="15" customHeight="1">
      <c r="A778" s="491" t="s">
        <v>2875</v>
      </c>
      <c r="B778" s="468">
        <v>300</v>
      </c>
      <c r="C778" s="467" t="s">
        <v>2877</v>
      </c>
      <c r="D778" s="530" t="s">
        <v>707</v>
      </c>
      <c r="E778" s="467" t="s">
        <v>130</v>
      </c>
      <c r="F778" s="466">
        <v>2</v>
      </c>
      <c r="G778" s="467" t="s">
        <v>3835</v>
      </c>
      <c r="H778" s="748" t="s">
        <v>1712</v>
      </c>
      <c r="I778" s="475" t="s">
        <v>1467</v>
      </c>
      <c r="J778" s="463" t="s">
        <v>2128</v>
      </c>
      <c r="K778" s="518" t="s">
        <v>1767</v>
      </c>
      <c r="L778" s="476">
        <v>43.347000000000001</v>
      </c>
      <c r="M778" s="469">
        <v>25</v>
      </c>
      <c r="N778" s="521">
        <v>39448</v>
      </c>
      <c r="O778" s="476">
        <f t="shared" si="43"/>
        <v>216.73500000000001</v>
      </c>
      <c r="P778" s="1050" t="s">
        <v>728</v>
      </c>
      <c r="Q778" s="783"/>
      <c r="R778" s="476"/>
      <c r="S778" s="476"/>
      <c r="T778" s="1054"/>
      <c r="U778" s="470"/>
      <c r="V778" s="476"/>
      <c r="W778" s="466"/>
      <c r="X778" s="898"/>
      <c r="Y778" s="467" t="s">
        <v>1630</v>
      </c>
      <c r="Z778" s="467" t="s">
        <v>1091</v>
      </c>
      <c r="AA778" s="470">
        <v>40898</v>
      </c>
      <c r="AB778" s="1054"/>
      <c r="AC778" s="933"/>
      <c r="AD778" s="470"/>
      <c r="AE778" s="470"/>
      <c r="AF778" s="470"/>
      <c r="AG778" s="466"/>
      <c r="AH778" s="466">
        <v>0</v>
      </c>
      <c r="AI778" s="466"/>
      <c r="AJ778" s="469">
        <f>14.4/Exch!B11</f>
        <v>17.054474359782137</v>
      </c>
      <c r="AK778" s="469">
        <f>AJ778*1000/L778</f>
        <v>393.44070777175205</v>
      </c>
      <c r="AL778" s="466"/>
      <c r="AM778" s="466"/>
      <c r="AN778" s="466"/>
      <c r="AO778" s="467"/>
      <c r="AP778" s="463"/>
      <c r="AQ778" s="466"/>
    </row>
    <row r="779" spans="1:43" s="464" customFormat="1" ht="15" customHeight="1">
      <c r="A779" s="491" t="s">
        <v>2876</v>
      </c>
      <c r="B779" s="468">
        <v>301</v>
      </c>
      <c r="C779" s="467" t="s">
        <v>2878</v>
      </c>
      <c r="D779" s="530" t="s">
        <v>707</v>
      </c>
      <c r="E779" s="467" t="s">
        <v>2421</v>
      </c>
      <c r="F779" s="466">
        <v>2</v>
      </c>
      <c r="G779" s="466"/>
      <c r="H779" s="748" t="s">
        <v>1712</v>
      </c>
      <c r="I779" s="475" t="s">
        <v>1467</v>
      </c>
      <c r="J779" s="463" t="s">
        <v>2128</v>
      </c>
      <c r="K779" s="518" t="s">
        <v>1767</v>
      </c>
      <c r="L779" s="476">
        <v>157.14699999999999</v>
      </c>
      <c r="M779" s="469">
        <v>40</v>
      </c>
      <c r="N779" s="521">
        <v>39448</v>
      </c>
      <c r="O779" s="476">
        <f t="shared" si="43"/>
        <v>785.7349999999999</v>
      </c>
      <c r="P779" s="1050" t="s">
        <v>728</v>
      </c>
      <c r="Q779" s="783"/>
      <c r="R779" s="476"/>
      <c r="S779" s="476"/>
      <c r="T779" s="1054"/>
      <c r="U779" s="470"/>
      <c r="V779" s="476"/>
      <c r="W779" s="466"/>
      <c r="X779" s="898"/>
      <c r="Y779" s="467" t="s">
        <v>2112</v>
      </c>
      <c r="Z779" s="467" t="s">
        <v>1091</v>
      </c>
      <c r="AA779" s="470">
        <v>40898</v>
      </c>
      <c r="AB779" s="1054"/>
      <c r="AC779" s="933"/>
      <c r="AD779" s="470"/>
      <c r="AE779" s="470"/>
      <c r="AF779" s="470"/>
      <c r="AG779" s="466"/>
      <c r="AH779" s="466">
        <v>0</v>
      </c>
      <c r="AI779" s="466"/>
      <c r="AJ779" s="469">
        <f>105.235/Exch!B11</f>
        <v>124.63386175358842</v>
      </c>
      <c r="AK779" s="469">
        <f>AJ779*1000/L779</f>
        <v>793.10366569892165</v>
      </c>
      <c r="AL779" s="466"/>
      <c r="AM779" s="466"/>
      <c r="AN779" s="466"/>
      <c r="AO779" s="467"/>
      <c r="AP779" s="463"/>
      <c r="AQ779" s="466"/>
    </row>
    <row r="780" spans="1:43" s="464" customFormat="1" ht="15.75" customHeight="1">
      <c r="A780" s="491" t="s">
        <v>2880</v>
      </c>
      <c r="B780" s="468">
        <v>302</v>
      </c>
      <c r="C780" s="467" t="s">
        <v>2881</v>
      </c>
      <c r="D780" s="530" t="s">
        <v>707</v>
      </c>
      <c r="E780" s="467" t="s">
        <v>2079</v>
      </c>
      <c r="F780" s="466">
        <v>2</v>
      </c>
      <c r="G780" s="466"/>
      <c r="H780" s="748" t="s">
        <v>1712</v>
      </c>
      <c r="I780" s="475" t="s">
        <v>1467</v>
      </c>
      <c r="J780" s="463" t="s">
        <v>2128</v>
      </c>
      <c r="K780" s="518" t="s">
        <v>1767</v>
      </c>
      <c r="L780" s="476">
        <v>65.7</v>
      </c>
      <c r="M780" s="469">
        <v>8</v>
      </c>
      <c r="N780" s="521">
        <v>39448</v>
      </c>
      <c r="O780" s="476">
        <f t="shared" si="43"/>
        <v>328.5</v>
      </c>
      <c r="P780" s="1050" t="s">
        <v>728</v>
      </c>
      <c r="Q780" s="783"/>
      <c r="R780" s="476"/>
      <c r="S780" s="476"/>
      <c r="T780" s="1054"/>
      <c r="U780" s="470"/>
      <c r="V780" s="476"/>
      <c r="W780" s="466"/>
      <c r="X780" s="898"/>
      <c r="Y780" s="467" t="s">
        <v>1630</v>
      </c>
      <c r="Z780" s="467" t="s">
        <v>1091</v>
      </c>
      <c r="AA780" s="470">
        <v>40900</v>
      </c>
      <c r="AB780" s="1054"/>
      <c r="AC780" s="933"/>
      <c r="AD780" s="470"/>
      <c r="AE780" s="470"/>
      <c r="AF780" s="470"/>
      <c r="AG780" s="466"/>
      <c r="AH780" s="466">
        <v>0</v>
      </c>
      <c r="AI780" s="466"/>
      <c r="AJ780" s="469">
        <f>30.8/Exch!B11</f>
        <v>36.477625713978462</v>
      </c>
      <c r="AK780" s="469">
        <f>AJ780*1000/L780</f>
        <v>555.21500325690204</v>
      </c>
      <c r="AL780" s="466"/>
      <c r="AM780" s="466"/>
      <c r="AN780" s="466"/>
      <c r="AO780" s="467"/>
      <c r="AP780" s="463"/>
      <c r="AQ780" s="466"/>
    </row>
    <row r="781" spans="1:43" s="464" customFormat="1" ht="28.5" customHeight="1">
      <c r="A781" s="491" t="s">
        <v>2949</v>
      </c>
      <c r="B781" s="468">
        <v>313</v>
      </c>
      <c r="C781" s="467" t="s">
        <v>2951</v>
      </c>
      <c r="D781" s="530" t="s">
        <v>707</v>
      </c>
      <c r="E781" s="467" t="s">
        <v>1043</v>
      </c>
      <c r="F781" s="466">
        <v>2</v>
      </c>
      <c r="G781" s="466"/>
      <c r="H781" s="748" t="s">
        <v>1712</v>
      </c>
      <c r="I781" s="475" t="s">
        <v>1059</v>
      </c>
      <c r="J781" s="906" t="s">
        <v>2954</v>
      </c>
      <c r="K781" s="863" t="s">
        <v>2001</v>
      </c>
      <c r="L781" s="476">
        <v>64.141999999999996</v>
      </c>
      <c r="M781" s="469">
        <v>2</v>
      </c>
      <c r="N781" s="521">
        <v>39448</v>
      </c>
      <c r="O781" s="476">
        <f t="shared" si="43"/>
        <v>320.70999999999998</v>
      </c>
      <c r="P781" s="1050" t="s">
        <v>728</v>
      </c>
      <c r="Q781" s="783"/>
      <c r="R781" s="476"/>
      <c r="S781" s="476"/>
      <c r="T781" s="1054"/>
      <c r="U781" s="470"/>
      <c r="V781" s="476"/>
      <c r="W781" s="466"/>
      <c r="X781" s="898"/>
      <c r="Y781" s="467" t="s">
        <v>2955</v>
      </c>
      <c r="Z781" s="467" t="s">
        <v>2956</v>
      </c>
      <c r="AA781" s="470">
        <v>40954</v>
      </c>
      <c r="AB781" s="1054"/>
      <c r="AC781" s="933"/>
      <c r="AD781" s="470"/>
      <c r="AE781" s="470"/>
      <c r="AF781" s="470"/>
      <c r="AG781" s="466"/>
      <c r="AH781" s="466">
        <v>0</v>
      </c>
      <c r="AI781" s="466"/>
      <c r="AJ781" s="466"/>
      <c r="AK781" s="466"/>
      <c r="AL781" s="466"/>
      <c r="AM781" s="466"/>
      <c r="AN781" s="466"/>
      <c r="AO781" s="467"/>
      <c r="AP781" s="463"/>
      <c r="AQ781" s="466"/>
    </row>
    <row r="782" spans="1:43" s="464" customFormat="1" ht="15.75" customHeight="1">
      <c r="A782" s="491" t="s">
        <v>2966</v>
      </c>
      <c r="B782" s="468">
        <v>315</v>
      </c>
      <c r="C782" s="467" t="s">
        <v>2974</v>
      </c>
      <c r="D782" s="530" t="s">
        <v>707</v>
      </c>
      <c r="E782" s="467" t="s">
        <v>2416</v>
      </c>
      <c r="F782" s="466">
        <v>2</v>
      </c>
      <c r="G782" s="467" t="s">
        <v>3922</v>
      </c>
      <c r="H782" s="748" t="s">
        <v>1712</v>
      </c>
      <c r="I782" s="475" t="s">
        <v>911</v>
      </c>
      <c r="J782" s="734" t="s">
        <v>1577</v>
      </c>
      <c r="K782" s="863" t="s">
        <v>2001</v>
      </c>
      <c r="L782" s="476">
        <v>1652.4780000000001</v>
      </c>
      <c r="M782" s="469">
        <v>0</v>
      </c>
      <c r="N782" s="521">
        <v>39448</v>
      </c>
      <c r="O782" s="476">
        <f t="shared" si="43"/>
        <v>8262.39</v>
      </c>
      <c r="P782" s="1050" t="s">
        <v>728</v>
      </c>
      <c r="Q782" s="783"/>
      <c r="R782" s="476"/>
      <c r="S782" s="476"/>
      <c r="T782" s="1054"/>
      <c r="U782" s="470"/>
      <c r="V782" s="476"/>
      <c r="W782" s="466"/>
      <c r="X782" s="898"/>
      <c r="Y782" s="466" t="s">
        <v>2980</v>
      </c>
      <c r="Z782" s="467" t="s">
        <v>2511</v>
      </c>
      <c r="AA782" s="470">
        <v>40969</v>
      </c>
      <c r="AB782" s="1054"/>
      <c r="AC782" s="933"/>
      <c r="AD782" s="470"/>
      <c r="AE782" s="470"/>
      <c r="AF782" s="470"/>
      <c r="AG782" s="466"/>
      <c r="AH782" s="466">
        <v>0</v>
      </c>
      <c r="AI782" s="466"/>
      <c r="AJ782" s="466">
        <v>1103.7</v>
      </c>
      <c r="AK782" s="469">
        <f>AJ782*1000/L782</f>
        <v>667.90601750825124</v>
      </c>
      <c r="AL782" s="466"/>
      <c r="AM782" s="466"/>
      <c r="AN782" s="466"/>
      <c r="AO782" s="467"/>
      <c r="AP782" s="463"/>
      <c r="AQ782" s="466"/>
    </row>
    <row r="783" spans="1:43" s="464" customFormat="1" ht="30" customHeight="1">
      <c r="A783" s="491" t="s">
        <v>2967</v>
      </c>
      <c r="B783" s="468">
        <v>316</v>
      </c>
      <c r="C783" s="467" t="s">
        <v>2973</v>
      </c>
      <c r="D783" s="530" t="s">
        <v>707</v>
      </c>
      <c r="E783" s="467" t="s">
        <v>2416</v>
      </c>
      <c r="F783" s="466">
        <v>2</v>
      </c>
      <c r="G783" s="467" t="s">
        <v>3925</v>
      </c>
      <c r="H783" s="748" t="s">
        <v>1712</v>
      </c>
      <c r="I783" s="475" t="s">
        <v>911</v>
      </c>
      <c r="J783" s="734" t="s">
        <v>1577</v>
      </c>
      <c r="K783" s="863" t="s">
        <v>2001</v>
      </c>
      <c r="L783" s="476">
        <v>1232.2349999999999</v>
      </c>
      <c r="M783" s="469">
        <v>400</v>
      </c>
      <c r="N783" s="521">
        <v>39722</v>
      </c>
      <c r="O783" s="476">
        <v>5236.9989999999998</v>
      </c>
      <c r="P783" s="1050" t="s">
        <v>728</v>
      </c>
      <c r="Q783" s="783"/>
      <c r="R783" s="476"/>
      <c r="S783" s="476"/>
      <c r="T783" s="1054"/>
      <c r="U783" s="470"/>
      <c r="V783" s="476"/>
      <c r="W783" s="466"/>
      <c r="X783" s="898"/>
      <c r="Y783" s="466" t="s">
        <v>2981</v>
      </c>
      <c r="Z783" s="467" t="s">
        <v>2511</v>
      </c>
      <c r="AA783" s="470">
        <v>40969</v>
      </c>
      <c r="AB783" s="1054"/>
      <c r="AC783" s="933"/>
      <c r="AD783" s="470"/>
      <c r="AE783" s="470"/>
      <c r="AF783" s="470"/>
      <c r="AG783" s="466"/>
      <c r="AH783" s="466">
        <v>0</v>
      </c>
      <c r="AI783" s="466"/>
      <c r="AJ783" s="466">
        <v>182.4</v>
      </c>
      <c r="AK783" s="469">
        <f>AJ783*1000/L783</f>
        <v>148.023713009288</v>
      </c>
      <c r="AL783" s="466"/>
      <c r="AM783" s="466"/>
      <c r="AN783" s="466"/>
      <c r="AO783" s="467"/>
      <c r="AP783" s="463"/>
      <c r="AQ783" s="466"/>
    </row>
    <row r="784" spans="1:43" s="464" customFormat="1" ht="27" customHeight="1">
      <c r="A784" s="491" t="s">
        <v>2968</v>
      </c>
      <c r="B784" s="468">
        <v>317</v>
      </c>
      <c r="C784" s="467" t="s">
        <v>2975</v>
      </c>
      <c r="D784" s="530" t="s">
        <v>707</v>
      </c>
      <c r="E784" s="467" t="s">
        <v>1562</v>
      </c>
      <c r="F784" s="466">
        <v>2</v>
      </c>
      <c r="G784" s="467" t="s">
        <v>3921</v>
      </c>
      <c r="H784" s="748" t="s">
        <v>1712</v>
      </c>
      <c r="I784" s="475" t="s">
        <v>911</v>
      </c>
      <c r="J784" s="734" t="s">
        <v>1577</v>
      </c>
      <c r="K784" s="863" t="s">
        <v>2001</v>
      </c>
      <c r="L784" s="476">
        <v>1536.471</v>
      </c>
      <c r="M784" s="469">
        <v>0</v>
      </c>
      <c r="N784" s="521">
        <v>39448</v>
      </c>
      <c r="O784" s="476">
        <f>L784*5</f>
        <v>7682.3549999999996</v>
      </c>
      <c r="P784" s="1050" t="s">
        <v>728</v>
      </c>
      <c r="Q784" s="783"/>
      <c r="R784" s="476"/>
      <c r="S784" s="476"/>
      <c r="T784" s="1054"/>
      <c r="U784" s="470"/>
      <c r="V784" s="476"/>
      <c r="W784" s="466"/>
      <c r="X784" s="898"/>
      <c r="Y784" s="466" t="s">
        <v>2982</v>
      </c>
      <c r="Z784" s="467" t="s">
        <v>2511</v>
      </c>
      <c r="AA784" s="470">
        <v>40971</v>
      </c>
      <c r="AB784" s="1054"/>
      <c r="AC784" s="933"/>
      <c r="AD784" s="470"/>
      <c r="AE784" s="470"/>
      <c r="AF784" s="470"/>
      <c r="AG784" s="466"/>
      <c r="AH784" s="466">
        <v>0</v>
      </c>
      <c r="AI784" s="466"/>
      <c r="AJ784" s="469">
        <v>2195.83</v>
      </c>
      <c r="AK784" s="469">
        <f>AJ784*1000/L784</f>
        <v>1429.1385909659214</v>
      </c>
      <c r="AL784" s="466"/>
      <c r="AM784" s="466"/>
      <c r="AN784" s="466"/>
      <c r="AO784" s="467"/>
      <c r="AP784" s="463"/>
      <c r="AQ784" s="466"/>
    </row>
    <row r="785" spans="1:43" s="464" customFormat="1" ht="15" customHeight="1">
      <c r="A785" s="491" t="s">
        <v>2971</v>
      </c>
      <c r="B785" s="468">
        <v>319</v>
      </c>
      <c r="C785" s="467" t="s">
        <v>2977</v>
      </c>
      <c r="D785" s="530" t="s">
        <v>707</v>
      </c>
      <c r="E785" s="467" t="s">
        <v>603</v>
      </c>
      <c r="F785" s="463">
        <v>2</v>
      </c>
      <c r="G785" s="463"/>
      <c r="H785" s="748" t="s">
        <v>1712</v>
      </c>
      <c r="I785" s="475" t="s">
        <v>911</v>
      </c>
      <c r="J785" s="734" t="s">
        <v>1577</v>
      </c>
      <c r="K785" s="796" t="s">
        <v>2001</v>
      </c>
      <c r="L785" s="476">
        <v>347.63</v>
      </c>
      <c r="M785" s="469">
        <v>0</v>
      </c>
      <c r="N785" s="521">
        <v>39448</v>
      </c>
      <c r="O785" s="476">
        <f>5*L785</f>
        <v>1738.15</v>
      </c>
      <c r="P785" s="516" t="s">
        <v>728</v>
      </c>
      <c r="Q785" s="783"/>
      <c r="R785" s="476"/>
      <c r="S785" s="476"/>
      <c r="T785" s="1054"/>
      <c r="U785" s="470"/>
      <c r="V785" s="476"/>
      <c r="W785" s="466"/>
      <c r="X785" s="898"/>
      <c r="Y785" s="466" t="s">
        <v>1084</v>
      </c>
      <c r="Z785" s="467" t="s">
        <v>2978</v>
      </c>
      <c r="AA785" s="470">
        <v>40975</v>
      </c>
      <c r="AB785" s="1054"/>
      <c r="AC785" s="933"/>
      <c r="AD785" s="470"/>
      <c r="AE785" s="470"/>
      <c r="AF785" s="470"/>
      <c r="AG785" s="466"/>
      <c r="AH785" s="466">
        <v>0</v>
      </c>
      <c r="AI785" s="466"/>
      <c r="AJ785" s="469">
        <f>179.9/Exch!B11</f>
        <v>213.06249564755603</v>
      </c>
      <c r="AK785" s="469">
        <f>AJ785*1000/L785</f>
        <v>612.90019747304905</v>
      </c>
      <c r="AL785" s="466"/>
      <c r="AM785" s="466"/>
      <c r="AN785" s="466"/>
      <c r="AO785" s="467"/>
      <c r="AP785" s="463"/>
      <c r="AQ785" s="466"/>
    </row>
    <row r="786" spans="1:43" s="464" customFormat="1" ht="27.75" customHeight="1">
      <c r="A786" s="491" t="s">
        <v>3234</v>
      </c>
      <c r="B786" s="468">
        <v>323</v>
      </c>
      <c r="C786" s="467" t="s">
        <v>3158</v>
      </c>
      <c r="D786" s="530" t="s">
        <v>707</v>
      </c>
      <c r="E786" s="467" t="s">
        <v>229</v>
      </c>
      <c r="F786" s="463">
        <v>2</v>
      </c>
      <c r="G786" s="463"/>
      <c r="H786" s="748" t="s">
        <v>1712</v>
      </c>
      <c r="I786" s="68" t="s">
        <v>845</v>
      </c>
      <c r="J786" s="51" t="s">
        <v>346</v>
      </c>
      <c r="K786" s="58" t="s">
        <v>842</v>
      </c>
      <c r="L786" s="469">
        <v>45.335999999999999</v>
      </c>
      <c r="M786" s="469">
        <v>0</v>
      </c>
      <c r="N786" s="521">
        <v>41244</v>
      </c>
      <c r="O786" s="469">
        <f>L786/12</f>
        <v>3.778</v>
      </c>
      <c r="P786" s="516" t="s">
        <v>728</v>
      </c>
      <c r="Q786" s="783"/>
      <c r="R786" s="476"/>
      <c r="S786" s="476"/>
      <c r="T786" s="1054"/>
      <c r="U786" s="470"/>
      <c r="V786" s="476"/>
      <c r="W786" s="466"/>
      <c r="X786" s="898"/>
      <c r="Y786" s="467" t="s">
        <v>3159</v>
      </c>
      <c r="Z786" s="467" t="s">
        <v>3160</v>
      </c>
      <c r="AA786" s="470">
        <v>41102</v>
      </c>
      <c r="AB786" s="1054"/>
      <c r="AC786" s="933"/>
      <c r="AD786" s="470"/>
      <c r="AE786" s="470"/>
      <c r="AF786" s="470"/>
      <c r="AG786" s="466"/>
      <c r="AH786" s="466">
        <v>0</v>
      </c>
      <c r="AI786" s="476"/>
      <c r="AJ786" s="469">
        <f>8.95/8.095</f>
        <v>1.105620753551575</v>
      </c>
      <c r="AK786" s="469">
        <f>AJ786*1000/L786</f>
        <v>24.387258548428953</v>
      </c>
      <c r="AL786" s="466"/>
      <c r="AM786" s="466"/>
      <c r="AN786" s="466"/>
      <c r="AO786" s="731"/>
      <c r="AP786" s="463"/>
      <c r="AQ786" s="466"/>
    </row>
    <row r="787" spans="1:43" s="464" customFormat="1" ht="28.5" customHeight="1">
      <c r="A787" s="491" t="s">
        <v>3236</v>
      </c>
      <c r="B787" s="502">
        <v>324</v>
      </c>
      <c r="C787" s="467" t="s">
        <v>3161</v>
      </c>
      <c r="D787" s="530" t="s">
        <v>707</v>
      </c>
      <c r="E787" s="467" t="s">
        <v>3162</v>
      </c>
      <c r="F787" s="463">
        <v>2</v>
      </c>
      <c r="G787" s="463"/>
      <c r="H787" s="748" t="s">
        <v>1712</v>
      </c>
      <c r="I787" s="475" t="s">
        <v>911</v>
      </c>
      <c r="J787" s="516" t="s">
        <v>1577</v>
      </c>
      <c r="K787" s="863" t="s">
        <v>2001</v>
      </c>
      <c r="L787" s="469">
        <v>468.47300000000001</v>
      </c>
      <c r="M787" s="469">
        <v>120</v>
      </c>
      <c r="N787" s="521">
        <v>39814</v>
      </c>
      <c r="O787" s="469">
        <f>L787*4</f>
        <v>1873.8920000000001</v>
      </c>
      <c r="P787" s="516" t="s">
        <v>896</v>
      </c>
      <c r="Q787" s="783"/>
      <c r="R787" s="476"/>
      <c r="S787" s="476"/>
      <c r="T787" s="1054"/>
      <c r="U787" s="470"/>
      <c r="V787" s="476"/>
      <c r="W787" s="466"/>
      <c r="X787" s="898"/>
      <c r="Y787" s="466" t="s">
        <v>2698</v>
      </c>
      <c r="Z787" s="467" t="s">
        <v>1616</v>
      </c>
      <c r="AA787" s="470">
        <v>41114</v>
      </c>
      <c r="AB787" s="1054"/>
      <c r="AC787" s="933"/>
      <c r="AD787" s="470"/>
      <c r="AE787" s="470"/>
      <c r="AF787" s="470"/>
      <c r="AG787" s="466"/>
      <c r="AH787" s="466">
        <v>0</v>
      </c>
      <c r="AI787" s="476"/>
      <c r="AJ787" s="740"/>
      <c r="AK787" s="466"/>
      <c r="AL787" s="466"/>
      <c r="AM787" s="466"/>
      <c r="AN787" s="466"/>
      <c r="AO787" s="731"/>
      <c r="AP787" s="463"/>
      <c r="AQ787" s="466"/>
    </row>
    <row r="788" spans="1:43" s="464" customFormat="1" ht="14.25" customHeight="1">
      <c r="A788" s="491" t="s">
        <v>3893</v>
      </c>
      <c r="B788" s="468">
        <v>328</v>
      </c>
      <c r="C788" s="467" t="s">
        <v>3711</v>
      </c>
      <c r="D788" s="530" t="s">
        <v>707</v>
      </c>
      <c r="E788" s="467" t="s">
        <v>229</v>
      </c>
      <c r="F788" s="463">
        <v>2</v>
      </c>
      <c r="G788" s="530" t="s">
        <v>3929</v>
      </c>
      <c r="H788" s="61" t="s">
        <v>1712</v>
      </c>
      <c r="I788" s="500" t="s">
        <v>1548</v>
      </c>
      <c r="J788" s="466" t="s">
        <v>2264</v>
      </c>
      <c r="K788" s="518" t="s">
        <v>2001</v>
      </c>
      <c r="L788" s="476">
        <v>1016.895</v>
      </c>
      <c r="M788" s="469">
        <v>0</v>
      </c>
      <c r="N788" s="521">
        <v>39521</v>
      </c>
      <c r="O788" s="476">
        <v>4914.9939999999997</v>
      </c>
      <c r="P788" s="516" t="s">
        <v>728</v>
      </c>
      <c r="Q788" s="783"/>
      <c r="R788" s="466"/>
      <c r="S788" s="466"/>
      <c r="T788" s="1054"/>
      <c r="U788" s="470"/>
      <c r="V788" s="476"/>
      <c r="W788" s="486"/>
      <c r="X788" s="898"/>
      <c r="Y788" s="467" t="s">
        <v>2893</v>
      </c>
      <c r="Z788" s="467" t="s">
        <v>3083</v>
      </c>
      <c r="AA788" s="501">
        <v>41270</v>
      </c>
      <c r="AB788" s="1072"/>
      <c r="AC788" s="933"/>
      <c r="AD788" s="470"/>
      <c r="AE788" s="470"/>
      <c r="AF788" s="470"/>
      <c r="AG788" s="469"/>
      <c r="AH788" s="469"/>
      <c r="AI788" s="476"/>
      <c r="AJ788" s="736"/>
      <c r="AK788" s="469"/>
      <c r="AL788" s="469"/>
      <c r="AM788" s="469"/>
      <c r="AN788" s="469"/>
      <c r="AO788" s="466"/>
      <c r="AP788" s="463"/>
      <c r="AQ788" s="782"/>
    </row>
    <row r="789" spans="1:43" s="464" customFormat="1" ht="14.25" customHeight="1">
      <c r="A789" s="491" t="s">
        <v>4067</v>
      </c>
      <c r="B789" s="489">
        <v>332</v>
      </c>
      <c r="C789" s="467" t="s">
        <v>4068</v>
      </c>
      <c r="D789" s="530" t="s">
        <v>707</v>
      </c>
      <c r="E789" s="467" t="s">
        <v>229</v>
      </c>
      <c r="F789" s="466">
        <v>2</v>
      </c>
      <c r="G789" s="466"/>
      <c r="H789" s="61" t="s">
        <v>1712</v>
      </c>
      <c r="I789" s="500" t="s">
        <v>1548</v>
      </c>
      <c r="J789" s="466" t="s">
        <v>2264</v>
      </c>
      <c r="K789" s="518" t="s">
        <v>2001</v>
      </c>
      <c r="L789" s="476">
        <v>380.51100000000002</v>
      </c>
      <c r="M789" s="469">
        <v>0</v>
      </c>
      <c r="N789" s="521">
        <v>41365</v>
      </c>
      <c r="O789" s="476">
        <v>0</v>
      </c>
      <c r="P789" s="966" t="s">
        <v>728</v>
      </c>
      <c r="Q789" s="783"/>
      <c r="R789" s="476"/>
      <c r="S789" s="476"/>
      <c r="T789" s="1054"/>
      <c r="U789" s="470"/>
      <c r="V789" s="476"/>
      <c r="W789" s="486"/>
      <c r="X789" s="898"/>
      <c r="Y789" s="467" t="s">
        <v>4069</v>
      </c>
      <c r="Z789" s="467" t="s">
        <v>4070</v>
      </c>
      <c r="AA789" s="501">
        <v>41419</v>
      </c>
      <c r="AB789" s="1072"/>
      <c r="AC789" s="933"/>
      <c r="AD789" s="470"/>
      <c r="AE789" s="470"/>
      <c r="AF789" s="470"/>
      <c r="AG789" s="469"/>
      <c r="AH789" s="469"/>
      <c r="AI789" s="476"/>
      <c r="AJ789" s="736"/>
      <c r="AK789" s="469"/>
      <c r="AL789" s="469"/>
      <c r="AM789" s="469"/>
      <c r="AN789" s="469"/>
      <c r="AO789" s="466"/>
      <c r="AP789" s="463"/>
      <c r="AQ789" s="467"/>
    </row>
    <row r="790" spans="1:43" s="464" customFormat="1" ht="14.25" customHeight="1">
      <c r="A790" s="459" t="s">
        <v>559</v>
      </c>
      <c r="B790" s="59">
        <v>51</v>
      </c>
      <c r="C790" s="52" t="s">
        <v>1026</v>
      </c>
      <c r="D790" s="974" t="s">
        <v>1027</v>
      </c>
      <c r="E790" s="466" t="s">
        <v>1043</v>
      </c>
      <c r="F790" s="54">
        <v>2</v>
      </c>
      <c r="G790" s="54"/>
      <c r="H790" s="61" t="s">
        <v>1712</v>
      </c>
      <c r="I790" s="68" t="s">
        <v>845</v>
      </c>
      <c r="J790" s="51" t="s">
        <v>346</v>
      </c>
      <c r="K790" s="61" t="s">
        <v>842</v>
      </c>
      <c r="L790" s="361">
        <v>49.595999999999997</v>
      </c>
      <c r="M790" s="92">
        <v>0</v>
      </c>
      <c r="N790" s="864">
        <v>39448</v>
      </c>
      <c r="O790" s="361">
        <v>247.98099999999999</v>
      </c>
      <c r="P790" s="52" t="s">
        <v>1731</v>
      </c>
      <c r="Q790" s="981"/>
      <c r="R790" s="52"/>
      <c r="S790" s="52"/>
      <c r="T790" s="1055"/>
      <c r="U790" s="854"/>
      <c r="V790" s="385"/>
      <c r="W790" s="383"/>
      <c r="X790" s="482"/>
      <c r="Y790" s="51" t="s">
        <v>431</v>
      </c>
      <c r="Z790" s="51" t="s">
        <v>1602</v>
      </c>
      <c r="AA790" s="875">
        <v>39213</v>
      </c>
      <c r="AB790" s="1071"/>
      <c r="AC790" s="882"/>
      <c r="AD790" s="854"/>
      <c r="AE790" s="854"/>
      <c r="AF790" s="854"/>
      <c r="AG790" s="92"/>
      <c r="AH790" s="92"/>
      <c r="AI790" s="361"/>
      <c r="AJ790" s="736"/>
      <c r="AK790" s="92"/>
      <c r="AL790" s="92"/>
      <c r="AM790" s="92"/>
      <c r="AN790" s="92"/>
      <c r="AO790" s="52"/>
      <c r="AP790" s="463"/>
      <c r="AQ790" s="64"/>
    </row>
    <row r="791" spans="1:43" s="464" customFormat="1" ht="27.75" customHeight="1">
      <c r="A791" s="491" t="s">
        <v>3466</v>
      </c>
      <c r="B791" s="59">
        <v>326</v>
      </c>
      <c r="C791" s="451" t="s">
        <v>3356</v>
      </c>
      <c r="D791" s="55" t="s">
        <v>1089</v>
      </c>
      <c r="E791" s="52" t="s">
        <v>3359</v>
      </c>
      <c r="F791" s="54">
        <v>2</v>
      </c>
      <c r="G791" s="51"/>
      <c r="H791" s="61" t="s">
        <v>1712</v>
      </c>
      <c r="I791" s="475" t="s">
        <v>1059</v>
      </c>
      <c r="J791" s="515" t="s">
        <v>2954</v>
      </c>
      <c r="K791" s="863" t="s">
        <v>2001</v>
      </c>
      <c r="L791" s="361">
        <v>24.35848</v>
      </c>
      <c r="M791" s="92">
        <v>0</v>
      </c>
      <c r="N791" s="864">
        <v>39448</v>
      </c>
      <c r="O791" s="361">
        <f>L791*5</f>
        <v>121.7924</v>
      </c>
      <c r="P791" s="516" t="s">
        <v>896</v>
      </c>
      <c r="Q791" s="981"/>
      <c r="R791" s="52"/>
      <c r="S791" s="52"/>
      <c r="T791" s="1055"/>
      <c r="U791" s="854"/>
      <c r="V791" s="385"/>
      <c r="W791" s="383"/>
      <c r="X791" s="482"/>
      <c r="Y791" s="51" t="s">
        <v>3358</v>
      </c>
      <c r="Z791" s="51" t="s">
        <v>3360</v>
      </c>
      <c r="AA791" s="875">
        <v>41185</v>
      </c>
      <c r="AB791" s="1071"/>
      <c r="AC791" s="882"/>
      <c r="AD791" s="854"/>
      <c r="AE791" s="854"/>
      <c r="AF791" s="854"/>
      <c r="AG791" s="92"/>
      <c r="AH791" s="92">
        <v>0</v>
      </c>
      <c r="AI791" s="361"/>
      <c r="AJ791" s="736"/>
      <c r="AK791" s="92"/>
      <c r="AL791" s="92"/>
      <c r="AM791" s="92"/>
      <c r="AN791" s="92"/>
      <c r="AO791" s="52"/>
      <c r="AP791" s="463"/>
      <c r="AQ791" s="782"/>
    </row>
    <row r="792" spans="1:43" s="464" customFormat="1" ht="27.75" customHeight="1">
      <c r="A792" s="491" t="s">
        <v>3467</v>
      </c>
      <c r="B792" s="59">
        <v>327</v>
      </c>
      <c r="C792" s="451" t="s">
        <v>3357</v>
      </c>
      <c r="D792" s="55" t="s">
        <v>1089</v>
      </c>
      <c r="E792" s="52" t="s">
        <v>3361</v>
      </c>
      <c r="F792" s="54">
        <v>2</v>
      </c>
      <c r="G792" s="54"/>
      <c r="H792" s="61" t="s">
        <v>1712</v>
      </c>
      <c r="I792" s="475" t="s">
        <v>1059</v>
      </c>
      <c r="J792" s="515" t="s">
        <v>2954</v>
      </c>
      <c r="K792" s="863" t="s">
        <v>2001</v>
      </c>
      <c r="L792" s="361">
        <v>24.228000000000002</v>
      </c>
      <c r="M792" s="92">
        <v>2</v>
      </c>
      <c r="N792" s="864">
        <v>39448</v>
      </c>
      <c r="O792" s="361">
        <f>L792*5</f>
        <v>121.14000000000001</v>
      </c>
      <c r="P792" s="516" t="s">
        <v>896</v>
      </c>
      <c r="Q792" s="981"/>
      <c r="R792" s="52"/>
      <c r="S792" s="52"/>
      <c r="T792" s="1055"/>
      <c r="U792" s="854"/>
      <c r="V792" s="385"/>
      <c r="W792" s="383"/>
      <c r="X792" s="482"/>
      <c r="Y792" s="51" t="s">
        <v>3358</v>
      </c>
      <c r="Z792" s="51" t="s">
        <v>3362</v>
      </c>
      <c r="AA792" s="875">
        <v>41185</v>
      </c>
      <c r="AB792" s="1071"/>
      <c r="AC792" s="882"/>
      <c r="AD792" s="854"/>
      <c r="AE792" s="854"/>
      <c r="AF792" s="854"/>
      <c r="AG792" s="92"/>
      <c r="AH792" s="92">
        <v>0</v>
      </c>
      <c r="AI792" s="361"/>
      <c r="AJ792" s="736"/>
      <c r="AK792" s="92"/>
      <c r="AL792" s="92"/>
      <c r="AM792" s="92"/>
      <c r="AN792" s="92"/>
      <c r="AO792" s="52"/>
      <c r="AP792" s="463"/>
      <c r="AQ792" s="782"/>
    </row>
    <row r="793" spans="1:43" s="50" customFormat="1" ht="12.75" customHeight="1">
      <c r="A793" s="743"/>
      <c r="B793" s="53"/>
      <c r="C793" s="53"/>
      <c r="D793" s="192"/>
      <c r="E793" s="53"/>
      <c r="F793" s="53"/>
      <c r="G793" s="53"/>
      <c r="H793" s="527"/>
      <c r="I793" s="744"/>
      <c r="J793" s="53"/>
      <c r="K793" s="53"/>
      <c r="L793" s="415"/>
      <c r="M793" s="415"/>
      <c r="N793" s="742"/>
      <c r="O793" s="415"/>
      <c r="P793" s="53"/>
      <c r="Q793" s="983"/>
      <c r="R793" s="745"/>
      <c r="S793" s="745"/>
      <c r="T793" s="968"/>
      <c r="U793" s="416"/>
      <c r="V793" s="745"/>
      <c r="W793" s="53">
        <v>6029.6929264627515</v>
      </c>
      <c r="X793" s="746"/>
      <c r="Y793" s="53"/>
      <c r="Z793" s="747"/>
      <c r="AA793" s="416"/>
      <c r="AB793" s="416"/>
      <c r="AC793" s="416"/>
      <c r="AD793" s="416"/>
      <c r="AE793" s="416"/>
      <c r="AF793" s="416"/>
      <c r="AG793" s="53"/>
      <c r="AH793" s="53"/>
      <c r="AI793" s="53"/>
      <c r="AJ793" s="816"/>
      <c r="AK793" s="53"/>
      <c r="AL793" s="53"/>
      <c r="AM793" s="53"/>
      <c r="AN793" s="53"/>
      <c r="AO793" s="53"/>
      <c r="AP793" s="789"/>
      <c r="AQ793" s="53"/>
    </row>
    <row r="794" spans="1:43">
      <c r="V794" s="32"/>
    </row>
    <row r="795" spans="1:43">
      <c r="V795" s="32"/>
    </row>
    <row r="796" spans="1:43">
      <c r="V796" s="32"/>
    </row>
    <row r="797" spans="1:43">
      <c r="V797" s="32"/>
    </row>
    <row r="798" spans="1:43">
      <c r="J798" s="50"/>
      <c r="R798" s="32"/>
      <c r="S798" s="32"/>
      <c r="T798" s="235"/>
      <c r="U798" s="235"/>
      <c r="V798" s="32"/>
      <c r="AA798" s="235"/>
      <c r="AB798" s="235"/>
      <c r="AC798" s="235"/>
      <c r="AD798" s="235"/>
      <c r="AE798" s="235"/>
      <c r="AF798" s="235"/>
    </row>
    <row r="799" spans="1:43">
      <c r="J799" s="50"/>
      <c r="R799" s="32"/>
      <c r="S799" s="32"/>
      <c r="T799" s="235"/>
      <c r="U799" s="235"/>
      <c r="V799" s="32"/>
      <c r="AA799" s="235"/>
      <c r="AB799" s="235"/>
      <c r="AC799" s="235"/>
      <c r="AD799" s="235"/>
      <c r="AE799" s="235"/>
      <c r="AF799" s="235"/>
    </row>
    <row r="800" spans="1:43">
      <c r="J800" s="50"/>
      <c r="R800" s="32"/>
      <c r="S800" s="32"/>
      <c r="T800" s="235"/>
      <c r="U800" s="235"/>
      <c r="V800" s="32"/>
      <c r="AA800" s="235"/>
      <c r="AB800" s="235"/>
      <c r="AC800" s="235"/>
      <c r="AD800" s="235"/>
      <c r="AE800" s="235"/>
      <c r="AF800" s="235"/>
    </row>
    <row r="801" spans="10:32">
      <c r="J801" s="50"/>
      <c r="R801" s="32"/>
      <c r="S801" s="32"/>
      <c r="T801" s="235"/>
      <c r="U801" s="235"/>
      <c r="V801" s="32"/>
      <c r="AA801" s="235"/>
      <c r="AB801" s="235"/>
      <c r="AC801" s="235"/>
      <c r="AD801" s="235"/>
      <c r="AE801" s="235"/>
      <c r="AF801" s="235"/>
    </row>
    <row r="802" spans="10:32">
      <c r="J802" s="50"/>
      <c r="R802" s="32"/>
      <c r="S802" s="32"/>
      <c r="T802" s="235"/>
      <c r="U802" s="235"/>
      <c r="V802" s="32"/>
      <c r="AA802" s="235"/>
      <c r="AB802" s="235"/>
      <c r="AC802" s="235"/>
      <c r="AD802" s="235"/>
      <c r="AE802" s="235"/>
      <c r="AF802" s="235"/>
    </row>
    <row r="803" spans="10:32">
      <c r="J803" s="50"/>
      <c r="R803" s="32"/>
      <c r="S803" s="32"/>
      <c r="T803" s="235"/>
      <c r="U803" s="235"/>
      <c r="V803" s="32"/>
      <c r="AA803" s="235"/>
      <c r="AB803" s="235"/>
      <c r="AC803" s="235"/>
      <c r="AD803" s="235"/>
      <c r="AE803" s="235"/>
      <c r="AF803" s="235"/>
    </row>
    <row r="804" spans="10:32">
      <c r="J804" s="50"/>
      <c r="R804" s="32"/>
      <c r="S804" s="32"/>
      <c r="T804" s="235"/>
      <c r="U804" s="235"/>
      <c r="V804" s="32"/>
      <c r="AA804" s="235"/>
      <c r="AB804" s="235"/>
      <c r="AC804" s="235"/>
      <c r="AD804" s="235"/>
      <c r="AE804" s="235"/>
      <c r="AF804" s="235"/>
    </row>
    <row r="805" spans="10:32">
      <c r="J805" s="50"/>
      <c r="R805" s="32"/>
      <c r="S805" s="32"/>
      <c r="T805" s="235"/>
      <c r="U805" s="235"/>
      <c r="V805" s="32"/>
      <c r="AA805" s="235"/>
      <c r="AB805" s="235"/>
      <c r="AC805" s="235"/>
      <c r="AD805" s="235"/>
      <c r="AE805" s="235"/>
      <c r="AF805" s="235"/>
    </row>
    <row r="806" spans="10:32">
      <c r="J806" s="50"/>
      <c r="R806" s="32"/>
      <c r="S806" s="32"/>
      <c r="T806" s="235"/>
      <c r="U806" s="235"/>
      <c r="V806" s="32"/>
      <c r="AA806" s="235"/>
      <c r="AB806" s="235"/>
      <c r="AC806" s="235"/>
      <c r="AD806" s="235"/>
      <c r="AE806" s="235"/>
      <c r="AF806" s="235"/>
    </row>
    <row r="807" spans="10:32">
      <c r="J807" s="50"/>
      <c r="R807" s="32"/>
      <c r="S807" s="32"/>
      <c r="T807" s="235"/>
      <c r="U807" s="235"/>
      <c r="V807" s="32"/>
      <c r="AA807" s="235"/>
      <c r="AB807" s="235"/>
      <c r="AC807" s="235"/>
      <c r="AD807" s="235"/>
      <c r="AE807" s="235"/>
      <c r="AF807" s="235"/>
    </row>
    <row r="808" spans="10:32">
      <c r="J808" s="50"/>
      <c r="R808" s="32"/>
      <c r="S808" s="32"/>
      <c r="T808" s="235"/>
      <c r="U808" s="235"/>
      <c r="V808" s="32"/>
      <c r="AA808" s="235"/>
      <c r="AB808" s="235"/>
      <c r="AC808" s="235"/>
      <c r="AD808" s="235"/>
      <c r="AE808" s="235"/>
      <c r="AF808" s="235"/>
    </row>
    <row r="809" spans="10:32">
      <c r="J809" s="50"/>
      <c r="R809" s="32"/>
      <c r="S809" s="32"/>
      <c r="T809" s="235"/>
      <c r="U809" s="235"/>
      <c r="V809" s="32"/>
      <c r="AA809" s="235"/>
      <c r="AB809" s="235"/>
    </row>
    <row r="810" spans="10:32">
      <c r="J810" s="50"/>
      <c r="R810" s="32"/>
      <c r="S810" s="32"/>
      <c r="T810" s="235"/>
      <c r="U810" s="235"/>
      <c r="V810" s="32"/>
      <c r="AA810" s="235"/>
      <c r="AB810" s="235"/>
    </row>
    <row r="811" spans="10:32">
      <c r="J811" s="50"/>
      <c r="R811" s="32"/>
      <c r="S811" s="32"/>
      <c r="T811" s="235"/>
      <c r="U811" s="235"/>
      <c r="V811" s="32"/>
      <c r="AA811" s="235"/>
      <c r="AB811" s="235"/>
    </row>
    <row r="812" spans="10:32">
      <c r="J812" s="50"/>
      <c r="R812" s="32"/>
      <c r="S812" s="32"/>
      <c r="T812" s="235"/>
      <c r="U812" s="235"/>
      <c r="V812" s="32"/>
      <c r="AA812" s="235"/>
      <c r="AB812" s="235"/>
    </row>
    <row r="813" spans="10:32">
      <c r="J813" s="50"/>
      <c r="R813" s="32"/>
      <c r="S813" s="32"/>
      <c r="T813" s="235"/>
      <c r="U813" s="235"/>
      <c r="V813" s="32"/>
      <c r="AA813" s="235"/>
      <c r="AB813" s="235"/>
    </row>
    <row r="814" spans="10:32">
      <c r="J814" s="50"/>
      <c r="R814" s="32"/>
      <c r="S814" s="32"/>
      <c r="T814" s="235"/>
      <c r="U814" s="235"/>
      <c r="V814" s="32"/>
      <c r="AA814" s="235"/>
      <c r="AB814" s="235"/>
    </row>
    <row r="815" spans="10:32">
      <c r="J815" s="50"/>
      <c r="R815" s="32"/>
      <c r="S815" s="32"/>
      <c r="T815" s="235"/>
      <c r="U815" s="235"/>
      <c r="V815" s="32"/>
      <c r="AA815" s="235"/>
      <c r="AB815" s="235"/>
    </row>
    <row r="816" spans="10:32">
      <c r="J816" s="50"/>
      <c r="R816" s="32"/>
      <c r="S816" s="32"/>
      <c r="T816" s="235"/>
      <c r="U816" s="235"/>
      <c r="V816" s="32"/>
      <c r="AA816" s="235"/>
      <c r="AB816" s="235"/>
    </row>
    <row r="817" spans="10:28">
      <c r="J817" s="50"/>
      <c r="R817" s="32"/>
      <c r="S817" s="32"/>
      <c r="T817" s="235"/>
      <c r="U817" s="235"/>
      <c r="V817" s="32"/>
      <c r="AA817" s="235"/>
      <c r="AB817" s="235"/>
    </row>
    <row r="818" spans="10:28">
      <c r="J818" s="50"/>
      <c r="R818" s="32"/>
      <c r="S818" s="32"/>
      <c r="T818" s="235"/>
      <c r="U818" s="235"/>
      <c r="V818" s="32"/>
      <c r="AA818" s="235"/>
      <c r="AB818" s="235"/>
    </row>
    <row r="819" spans="10:28">
      <c r="J819" s="50"/>
      <c r="R819" s="32"/>
      <c r="S819" s="32"/>
      <c r="T819" s="235"/>
      <c r="U819" s="235"/>
      <c r="V819" s="32"/>
      <c r="AA819" s="235"/>
      <c r="AB819" s="235"/>
    </row>
    <row r="820" spans="10:28">
      <c r="J820" s="50"/>
      <c r="R820" s="32"/>
      <c r="S820" s="32"/>
      <c r="T820" s="235"/>
      <c r="U820" s="235"/>
      <c r="V820" s="32"/>
      <c r="AA820" s="235"/>
      <c r="AB820" s="235"/>
    </row>
    <row r="821" spans="10:28">
      <c r="J821" s="50"/>
      <c r="R821" s="32"/>
      <c r="S821" s="32"/>
      <c r="T821" s="235"/>
      <c r="U821" s="235"/>
      <c r="V821" s="32"/>
      <c r="AA821" s="235"/>
      <c r="AB821" s="235"/>
    </row>
    <row r="822" spans="10:28">
      <c r="J822" s="50"/>
      <c r="R822" s="32"/>
      <c r="S822" s="32"/>
      <c r="T822" s="235"/>
      <c r="U822" s="235"/>
      <c r="V822" s="32"/>
      <c r="AA822" s="235"/>
      <c r="AB822" s="235"/>
    </row>
    <row r="823" spans="10:28">
      <c r="J823" s="50"/>
      <c r="R823" s="32"/>
      <c r="S823" s="32"/>
      <c r="T823" s="235"/>
      <c r="U823" s="235"/>
      <c r="V823" s="32"/>
      <c r="AA823" s="235"/>
      <c r="AB823" s="235"/>
    </row>
    <row r="826" spans="10:28">
      <c r="J826" s="50"/>
      <c r="R826" s="32"/>
      <c r="S826" s="32"/>
      <c r="T826" s="235"/>
      <c r="U826" s="235"/>
      <c r="V826" s="32"/>
      <c r="AA826" s="235"/>
      <c r="AB826" s="235"/>
    </row>
    <row r="827" spans="10:28">
      <c r="J827" s="50"/>
      <c r="R827" s="32"/>
      <c r="S827" s="32"/>
      <c r="T827" s="235"/>
      <c r="U827" s="235"/>
      <c r="V827" s="32"/>
      <c r="AA827" s="235"/>
      <c r="AB827" s="235"/>
    </row>
    <row r="828" spans="10:28">
      <c r="R828" s="32"/>
      <c r="S828" s="32"/>
      <c r="T828" s="235"/>
      <c r="U828" s="235"/>
      <c r="V828" s="32"/>
      <c r="AA828" s="235"/>
      <c r="AB828" s="235"/>
    </row>
    <row r="829" spans="10:28">
      <c r="R829" s="32"/>
      <c r="S829" s="32"/>
      <c r="T829" s="235"/>
      <c r="U829" s="235"/>
      <c r="V829" s="32"/>
      <c r="AA829" s="235"/>
      <c r="AB829" s="235"/>
    </row>
    <row r="830" spans="10:28">
      <c r="R830" s="32"/>
      <c r="S830" s="32"/>
      <c r="T830" s="235"/>
      <c r="U830" s="235"/>
      <c r="V830" s="32"/>
      <c r="AA830" s="235"/>
      <c r="AB830" s="235"/>
    </row>
    <row r="831" spans="10:28">
      <c r="R831" s="32"/>
      <c r="S831" s="32"/>
      <c r="T831" s="235"/>
      <c r="U831" s="235"/>
      <c r="V831" s="32"/>
      <c r="AA831" s="235"/>
      <c r="AB831" s="235"/>
    </row>
    <row r="832" spans="10:28">
      <c r="R832" s="32"/>
      <c r="S832" s="32"/>
      <c r="T832" s="235"/>
      <c r="U832" s="235"/>
      <c r="V832" s="32"/>
      <c r="AA832" s="235"/>
      <c r="AB832" s="235"/>
    </row>
    <row r="833" spans="18:28">
      <c r="R833" s="32"/>
      <c r="S833" s="32"/>
      <c r="T833" s="235"/>
      <c r="U833" s="235"/>
      <c r="V833" s="32"/>
      <c r="AA833" s="235"/>
      <c r="AB833" s="235"/>
    </row>
    <row r="834" spans="18:28">
      <c r="R834" s="32"/>
      <c r="S834" s="32"/>
      <c r="T834" s="235"/>
      <c r="U834" s="235"/>
      <c r="V834" s="32"/>
      <c r="AA834" s="235"/>
      <c r="AB834" s="235"/>
    </row>
    <row r="835" spans="18:28">
      <c r="R835" s="32"/>
      <c r="S835" s="32"/>
      <c r="T835" s="235"/>
      <c r="U835" s="235"/>
      <c r="V835" s="32"/>
      <c r="AA835" s="235"/>
      <c r="AB835" s="235"/>
    </row>
    <row r="836" spans="18:28">
      <c r="R836" s="32"/>
      <c r="S836" s="32"/>
      <c r="T836" s="235"/>
      <c r="U836" s="235"/>
      <c r="V836" s="32"/>
      <c r="AA836" s="235"/>
      <c r="AB836" s="235"/>
    </row>
    <row r="837" spans="18:28">
      <c r="R837" s="32"/>
      <c r="S837" s="32"/>
      <c r="T837" s="235"/>
      <c r="U837" s="235"/>
      <c r="V837" s="32"/>
      <c r="AA837" s="235"/>
      <c r="AB837" s="235"/>
    </row>
    <row r="838" spans="18:28">
      <c r="R838" s="32"/>
      <c r="S838" s="32"/>
      <c r="T838" s="235"/>
      <c r="U838" s="235"/>
      <c r="V838" s="32"/>
      <c r="AA838" s="235"/>
      <c r="AB838" s="235"/>
    </row>
    <row r="839" spans="18:28">
      <c r="R839" s="32"/>
      <c r="S839" s="32"/>
      <c r="T839" s="235"/>
      <c r="U839" s="235"/>
      <c r="V839" s="32"/>
      <c r="AA839" s="235"/>
      <c r="AB839" s="235"/>
    </row>
    <row r="840" spans="18:28">
      <c r="R840" s="32"/>
      <c r="S840" s="32"/>
      <c r="T840" s="235"/>
      <c r="U840" s="235"/>
      <c r="V840" s="32"/>
      <c r="AA840" s="235"/>
      <c r="AB840" s="235"/>
    </row>
    <row r="841" spans="18:28">
      <c r="R841" s="32"/>
      <c r="S841" s="32"/>
      <c r="T841" s="235"/>
      <c r="U841" s="235"/>
      <c r="V841" s="32"/>
      <c r="AA841" s="235"/>
      <c r="AB841" s="235"/>
    </row>
    <row r="842" spans="18:28">
      <c r="R842" s="32"/>
      <c r="S842" s="32"/>
      <c r="T842" s="235"/>
      <c r="U842" s="235"/>
      <c r="V842" s="32"/>
      <c r="AA842" s="235"/>
      <c r="AB842" s="235"/>
    </row>
    <row r="843" spans="18:28">
      <c r="R843" s="32"/>
      <c r="S843" s="32"/>
      <c r="T843" s="235"/>
      <c r="U843" s="235"/>
      <c r="V843" s="32"/>
      <c r="AA843" s="235"/>
      <c r="AB843" s="235"/>
    </row>
    <row r="844" spans="18:28">
      <c r="R844" s="32"/>
      <c r="S844" s="32"/>
      <c r="T844" s="235"/>
      <c r="U844" s="235"/>
      <c r="V844" s="32"/>
      <c r="AA844" s="235"/>
      <c r="AB844" s="235"/>
    </row>
    <row r="845" spans="18:28">
      <c r="R845" s="32"/>
      <c r="S845" s="32"/>
      <c r="T845" s="235"/>
      <c r="U845" s="235"/>
      <c r="V845" s="32"/>
      <c r="AA845" s="235"/>
      <c r="AB845" s="235"/>
    </row>
    <row r="846" spans="18:28">
      <c r="R846" s="32"/>
      <c r="S846" s="32"/>
      <c r="T846" s="235"/>
      <c r="U846" s="235"/>
      <c r="V846" s="32"/>
      <c r="AA846" s="235"/>
      <c r="AB846" s="235"/>
    </row>
    <row r="847" spans="18:28">
      <c r="R847" s="32"/>
      <c r="S847" s="32"/>
      <c r="T847" s="235"/>
      <c r="U847" s="235"/>
      <c r="V847" s="32"/>
      <c r="AA847" s="235"/>
      <c r="AB847" s="235"/>
    </row>
    <row r="848" spans="18:28">
      <c r="R848" s="32"/>
      <c r="S848" s="32"/>
      <c r="T848" s="235"/>
      <c r="U848" s="235"/>
      <c r="V848" s="32"/>
      <c r="AA848" s="235"/>
      <c r="AB848" s="235"/>
    </row>
    <row r="849" spans="18:28">
      <c r="R849" s="32"/>
      <c r="S849" s="32"/>
      <c r="T849" s="235"/>
      <c r="U849" s="235"/>
      <c r="V849" s="32"/>
      <c r="AA849" s="235"/>
      <c r="AB849" s="235"/>
    </row>
    <row r="850" spans="18:28">
      <c r="R850" s="32"/>
      <c r="S850" s="32"/>
      <c r="T850" s="235"/>
      <c r="U850" s="235"/>
      <c r="V850" s="32"/>
      <c r="AA850" s="235"/>
      <c r="AB850" s="235"/>
    </row>
    <row r="851" spans="18:28">
      <c r="R851" s="32"/>
      <c r="S851" s="32"/>
      <c r="T851" s="235"/>
      <c r="U851" s="235"/>
      <c r="V851" s="32"/>
      <c r="AA851" s="235"/>
      <c r="AB851" s="235"/>
    </row>
    <row r="852" spans="18:28">
      <c r="R852" s="32"/>
      <c r="S852" s="32"/>
      <c r="T852" s="235"/>
      <c r="U852" s="235"/>
      <c r="V852" s="32"/>
      <c r="AA852" s="235"/>
      <c r="AB852" s="235"/>
    </row>
    <row r="853" spans="18:28">
      <c r="R853" s="32"/>
      <c r="S853" s="32"/>
      <c r="T853" s="235"/>
      <c r="U853" s="235"/>
      <c r="V853" s="32"/>
      <c r="AA853" s="235"/>
      <c r="AB853" s="235"/>
    </row>
    <row r="854" spans="18:28">
      <c r="R854" s="32"/>
      <c r="S854" s="32"/>
      <c r="T854" s="235"/>
      <c r="U854" s="235"/>
      <c r="V854" s="32"/>
      <c r="AA854" s="235"/>
      <c r="AB854" s="235"/>
    </row>
    <row r="855" spans="18:28">
      <c r="R855" s="32"/>
      <c r="S855" s="32"/>
      <c r="T855" s="235"/>
      <c r="U855" s="235"/>
      <c r="V855" s="32"/>
      <c r="AA855" s="235"/>
      <c r="AB855" s="235"/>
    </row>
    <row r="856" spans="18:28">
      <c r="R856" s="32"/>
      <c r="S856" s="32"/>
      <c r="T856" s="235"/>
      <c r="U856" s="235"/>
      <c r="V856" s="32"/>
      <c r="AA856" s="235"/>
      <c r="AB856" s="235"/>
    </row>
    <row r="857" spans="18:28">
      <c r="R857" s="32"/>
      <c r="S857" s="32"/>
      <c r="T857" s="235"/>
      <c r="U857" s="235"/>
      <c r="V857" s="32"/>
      <c r="AA857" s="235"/>
      <c r="AB857" s="235"/>
    </row>
    <row r="858" spans="18:28">
      <c r="R858" s="32"/>
      <c r="S858" s="32"/>
      <c r="T858" s="235"/>
      <c r="U858" s="235"/>
      <c r="V858" s="32"/>
      <c r="AA858" s="235"/>
      <c r="AB858" s="235"/>
    </row>
    <row r="859" spans="18:28">
      <c r="R859" s="32"/>
      <c r="S859" s="32"/>
      <c r="T859" s="235"/>
      <c r="U859" s="235"/>
      <c r="V859" s="32"/>
      <c r="AA859" s="235"/>
      <c r="AB859" s="235"/>
    </row>
    <row r="860" spans="18:28">
      <c r="R860" s="32"/>
      <c r="S860" s="32"/>
      <c r="T860" s="235"/>
      <c r="U860" s="235"/>
      <c r="V860" s="32"/>
      <c r="AA860" s="235"/>
      <c r="AB860" s="235"/>
    </row>
    <row r="861" spans="18:28">
      <c r="R861" s="32"/>
      <c r="S861" s="32"/>
      <c r="T861" s="235"/>
      <c r="U861" s="235"/>
      <c r="V861" s="32"/>
      <c r="AA861" s="235"/>
      <c r="AB861" s="235"/>
    </row>
    <row r="862" spans="18:28">
      <c r="R862" s="32"/>
      <c r="S862" s="32"/>
      <c r="T862" s="235"/>
      <c r="U862" s="235"/>
      <c r="V862" s="32"/>
      <c r="AA862" s="235"/>
      <c r="AB862" s="235"/>
    </row>
    <row r="863" spans="18:28">
      <c r="R863" s="32"/>
      <c r="S863" s="32"/>
      <c r="T863" s="235"/>
      <c r="U863" s="235"/>
      <c r="V863" s="32"/>
      <c r="AA863" s="235"/>
      <c r="AB863" s="235"/>
    </row>
    <row r="864" spans="18:28">
      <c r="R864" s="32"/>
      <c r="S864" s="32"/>
      <c r="T864" s="235"/>
      <c r="U864" s="235"/>
      <c r="V864" s="32"/>
      <c r="AA864" s="235"/>
      <c r="AB864" s="235"/>
    </row>
    <row r="865" spans="18:28">
      <c r="R865" s="32"/>
      <c r="S865" s="32"/>
      <c r="T865" s="235"/>
      <c r="U865" s="235"/>
      <c r="V865" s="32"/>
      <c r="AA865" s="235"/>
      <c r="AB865" s="235"/>
    </row>
    <row r="866" spans="18:28">
      <c r="R866" s="32"/>
      <c r="S866" s="32"/>
      <c r="T866" s="235"/>
      <c r="U866" s="235"/>
      <c r="V866" s="32"/>
      <c r="AA866" s="235"/>
      <c r="AB866" s="235"/>
    </row>
    <row r="867" spans="18:28">
      <c r="R867" s="32"/>
      <c r="S867" s="32"/>
      <c r="T867" s="235"/>
      <c r="U867" s="235"/>
      <c r="V867" s="32"/>
      <c r="AA867" s="235"/>
      <c r="AB867" s="235"/>
    </row>
    <row r="868" spans="18:28">
      <c r="R868" s="32"/>
      <c r="S868" s="32"/>
      <c r="T868" s="235"/>
      <c r="U868" s="235"/>
      <c r="V868" s="32"/>
      <c r="AA868" s="235"/>
      <c r="AB868" s="235"/>
    </row>
    <row r="869" spans="18:28">
      <c r="R869" s="32"/>
      <c r="S869" s="32"/>
      <c r="T869" s="235"/>
      <c r="U869" s="235"/>
      <c r="V869" s="32"/>
      <c r="AA869" s="235"/>
      <c r="AB869" s="235"/>
    </row>
    <row r="870" spans="18:28">
      <c r="R870" s="32"/>
      <c r="S870" s="32"/>
      <c r="T870" s="235"/>
      <c r="U870" s="235"/>
      <c r="V870" s="32"/>
      <c r="AA870" s="235"/>
      <c r="AB870" s="235"/>
    </row>
    <row r="871" spans="18:28">
      <c r="R871" s="32"/>
      <c r="S871" s="32"/>
      <c r="T871" s="235"/>
      <c r="U871" s="235"/>
      <c r="V871" s="32"/>
      <c r="AA871" s="235"/>
      <c r="AB871" s="235"/>
    </row>
    <row r="872" spans="18:28">
      <c r="R872" s="32"/>
      <c r="S872" s="32"/>
      <c r="T872" s="235"/>
      <c r="U872" s="235"/>
      <c r="V872" s="32"/>
      <c r="AA872" s="235"/>
      <c r="AB872" s="235"/>
    </row>
    <row r="873" spans="18:28">
      <c r="R873" s="32"/>
      <c r="S873" s="32"/>
      <c r="T873" s="235"/>
      <c r="U873" s="235"/>
      <c r="V873" s="32"/>
      <c r="AA873" s="235"/>
      <c r="AB873" s="235"/>
    </row>
    <row r="874" spans="18:28">
      <c r="R874" s="32"/>
      <c r="S874" s="32"/>
      <c r="T874" s="235"/>
      <c r="U874" s="235"/>
      <c r="V874" s="32"/>
      <c r="AA874" s="235"/>
      <c r="AB874" s="235"/>
    </row>
    <row r="875" spans="18:28">
      <c r="R875" s="32"/>
      <c r="S875" s="32"/>
      <c r="T875" s="235"/>
      <c r="U875" s="235"/>
      <c r="V875" s="32"/>
      <c r="AA875" s="235"/>
      <c r="AB875" s="235"/>
    </row>
    <row r="876" spans="18:28">
      <c r="R876" s="32"/>
      <c r="S876" s="32"/>
      <c r="T876" s="235"/>
      <c r="U876" s="235"/>
      <c r="V876" s="32"/>
      <c r="AA876" s="235"/>
      <c r="AB876" s="235"/>
    </row>
    <row r="877" spans="18:28">
      <c r="R877" s="32"/>
      <c r="S877" s="32"/>
      <c r="T877" s="235"/>
      <c r="U877" s="235"/>
      <c r="V877" s="32"/>
      <c r="AA877" s="235"/>
      <c r="AB877" s="235"/>
    </row>
    <row r="878" spans="18:28">
      <c r="R878" s="32"/>
      <c r="S878" s="32"/>
      <c r="T878" s="235"/>
      <c r="U878" s="235"/>
      <c r="V878" s="32"/>
      <c r="AA878" s="235"/>
      <c r="AB878" s="235"/>
    </row>
    <row r="879" spans="18:28">
      <c r="R879" s="32"/>
      <c r="S879" s="32"/>
      <c r="T879" s="235"/>
      <c r="U879" s="235"/>
      <c r="V879" s="32"/>
      <c r="AA879" s="235"/>
      <c r="AB879" s="235"/>
    </row>
    <row r="880" spans="18:28">
      <c r="R880" s="32"/>
      <c r="S880" s="32"/>
      <c r="T880" s="235"/>
      <c r="U880" s="235"/>
      <c r="V880" s="32"/>
      <c r="AA880" s="235"/>
      <c r="AB880" s="235"/>
    </row>
    <row r="881" spans="18:28">
      <c r="R881" s="32"/>
      <c r="S881" s="32"/>
      <c r="T881" s="235"/>
      <c r="U881" s="235"/>
      <c r="V881" s="32"/>
      <c r="AA881" s="235"/>
      <c r="AB881" s="235"/>
    </row>
    <row r="882" spans="18:28">
      <c r="R882" s="32"/>
      <c r="S882" s="32"/>
      <c r="T882" s="235"/>
      <c r="U882" s="235"/>
      <c r="V882" s="32"/>
      <c r="AA882" s="235"/>
      <c r="AB882" s="235"/>
    </row>
    <row r="883" spans="18:28">
      <c r="R883" s="32"/>
      <c r="S883" s="32"/>
      <c r="T883" s="235"/>
      <c r="U883" s="235"/>
      <c r="V883" s="32"/>
      <c r="AA883" s="235"/>
      <c r="AB883" s="235"/>
    </row>
    <row r="884" spans="18:28">
      <c r="R884" s="32"/>
      <c r="S884" s="32"/>
      <c r="T884" s="235"/>
      <c r="U884" s="235"/>
      <c r="V884" s="32"/>
    </row>
    <row r="885" spans="18:28">
      <c r="R885" s="32"/>
      <c r="S885" s="32"/>
      <c r="T885" s="235"/>
      <c r="U885" s="235"/>
      <c r="V885" s="32"/>
    </row>
    <row r="886" spans="18:28">
      <c r="R886" s="32"/>
      <c r="S886" s="32"/>
      <c r="T886" s="235"/>
      <c r="U886" s="235"/>
      <c r="V886" s="32"/>
    </row>
    <row r="887" spans="18:28">
      <c r="R887" s="32"/>
      <c r="S887" s="32"/>
      <c r="T887" s="235"/>
      <c r="U887" s="235"/>
      <c r="V887" s="32"/>
    </row>
    <row r="888" spans="18:28">
      <c r="R888" s="32"/>
      <c r="S888" s="32"/>
      <c r="T888" s="235"/>
      <c r="U888" s="235"/>
      <c r="V888" s="32"/>
    </row>
    <row r="889" spans="18:28">
      <c r="R889" s="32"/>
      <c r="S889" s="32"/>
      <c r="T889" s="235"/>
      <c r="U889" s="235"/>
      <c r="V889" s="32"/>
    </row>
    <row r="890" spans="18:28">
      <c r="R890" s="32"/>
      <c r="S890" s="32"/>
      <c r="T890" s="235"/>
      <c r="U890" s="235"/>
      <c r="V890" s="32"/>
    </row>
    <row r="891" spans="18:28">
      <c r="R891" s="32"/>
      <c r="S891" s="32"/>
      <c r="T891" s="235"/>
      <c r="U891" s="235"/>
      <c r="V891" s="32"/>
    </row>
    <row r="892" spans="18:28">
      <c r="R892" s="32"/>
      <c r="S892" s="32"/>
      <c r="T892" s="235"/>
      <c r="U892" s="235"/>
      <c r="V892" s="32"/>
    </row>
    <row r="893" spans="18:28">
      <c r="R893" s="32"/>
      <c r="S893" s="32"/>
      <c r="T893" s="235"/>
      <c r="U893" s="235"/>
      <c r="V893" s="32"/>
    </row>
    <row r="894" spans="18:28">
      <c r="R894" s="32"/>
      <c r="S894" s="32"/>
      <c r="T894" s="235"/>
      <c r="U894" s="235"/>
      <c r="V894" s="32"/>
    </row>
    <row r="895" spans="18:28">
      <c r="R895" s="32"/>
      <c r="S895" s="32"/>
      <c r="T895" s="235"/>
      <c r="U895" s="235"/>
      <c r="V895" s="32"/>
    </row>
    <row r="896" spans="18:28">
      <c r="R896" s="32"/>
      <c r="S896" s="32"/>
      <c r="T896" s="235"/>
      <c r="U896" s="235"/>
      <c r="V896" s="32"/>
    </row>
    <row r="897" spans="20:22">
      <c r="T897" s="235"/>
      <c r="U897" s="235"/>
      <c r="V897" s="32"/>
    </row>
    <row r="898" spans="20:22">
      <c r="T898" s="235"/>
      <c r="U898" s="235"/>
      <c r="V898" s="32"/>
    </row>
    <row r="899" spans="20:22">
      <c r="T899" s="235"/>
      <c r="U899" s="235"/>
      <c r="V899" s="32"/>
    </row>
    <row r="900" spans="20:22">
      <c r="T900" s="235"/>
      <c r="U900" s="235"/>
      <c r="V900" s="32"/>
    </row>
    <row r="901" spans="20:22">
      <c r="T901" s="235"/>
      <c r="U901" s="235"/>
      <c r="V901" s="32"/>
    </row>
    <row r="902" spans="20:22">
      <c r="T902" s="235"/>
      <c r="U902" s="235"/>
      <c r="V902" s="32"/>
    </row>
    <row r="903" spans="20:22">
      <c r="T903" s="235"/>
      <c r="U903" s="235"/>
      <c r="V903" s="32"/>
    </row>
    <row r="904" spans="20:22">
      <c r="T904" s="235"/>
      <c r="U904" s="235"/>
      <c r="V904" s="32"/>
    </row>
    <row r="905" spans="20:22">
      <c r="T905" s="235"/>
      <c r="U905" s="235"/>
      <c r="V905" s="32"/>
    </row>
    <row r="906" spans="20:22">
      <c r="T906" s="235"/>
      <c r="U906" s="235"/>
      <c r="V906" s="32"/>
    </row>
    <row r="907" spans="20:22">
      <c r="T907" s="235"/>
      <c r="U907" s="235"/>
      <c r="V907" s="32"/>
    </row>
    <row r="908" spans="20:22">
      <c r="T908" s="235"/>
      <c r="U908" s="235"/>
      <c r="V908" s="32"/>
    </row>
    <row r="909" spans="20:22">
      <c r="T909" s="235"/>
      <c r="U909" s="235"/>
      <c r="V909" s="32"/>
    </row>
    <row r="910" spans="20:22">
      <c r="T910" s="235"/>
      <c r="U910" s="235"/>
      <c r="V910" s="32"/>
    </row>
    <row r="911" spans="20:22">
      <c r="T911" s="235"/>
      <c r="U911" s="235"/>
      <c r="V911" s="32"/>
    </row>
    <row r="912" spans="20:22">
      <c r="T912" s="235"/>
      <c r="U912" s="235"/>
      <c r="V912" s="32"/>
    </row>
    <row r="913" spans="20:22">
      <c r="T913" s="235"/>
      <c r="U913" s="235"/>
      <c r="V913" s="32"/>
    </row>
    <row r="914" spans="20:22">
      <c r="T914" s="235"/>
      <c r="U914" s="235"/>
      <c r="V914" s="32"/>
    </row>
    <row r="915" spans="20:22">
      <c r="T915" s="235"/>
      <c r="U915" s="235"/>
      <c r="V915" s="32"/>
    </row>
    <row r="916" spans="20:22">
      <c r="T916" s="235"/>
      <c r="U916" s="235"/>
      <c r="V916" s="32"/>
    </row>
    <row r="917" spans="20:22">
      <c r="T917" s="235"/>
      <c r="U917" s="235"/>
      <c r="V917" s="32"/>
    </row>
    <row r="918" spans="20:22">
      <c r="T918" s="235"/>
      <c r="U918" s="235"/>
      <c r="V918" s="32"/>
    </row>
    <row r="919" spans="20:22">
      <c r="T919" s="235"/>
      <c r="U919" s="235"/>
      <c r="V919" s="32"/>
    </row>
    <row r="920" spans="20:22">
      <c r="T920" s="235"/>
      <c r="U920" s="235"/>
      <c r="V920" s="32"/>
    </row>
    <row r="921" spans="20:22">
      <c r="T921" s="235"/>
      <c r="U921" s="235"/>
      <c r="V921" s="32"/>
    </row>
    <row r="922" spans="20:22">
      <c r="T922" s="235"/>
      <c r="U922" s="235"/>
      <c r="V922" s="32"/>
    </row>
    <row r="923" spans="20:22">
      <c r="T923" s="235"/>
      <c r="U923" s="235"/>
      <c r="V923" s="32"/>
    </row>
    <row r="924" spans="20:22">
      <c r="T924" s="235"/>
      <c r="U924" s="235"/>
      <c r="V924" s="32"/>
    </row>
    <row r="925" spans="20:22">
      <c r="T925" s="235"/>
      <c r="U925" s="235"/>
      <c r="V925" s="32"/>
    </row>
    <row r="926" spans="20:22">
      <c r="T926" s="235"/>
      <c r="U926" s="235"/>
      <c r="V926" s="32"/>
    </row>
    <row r="927" spans="20:22">
      <c r="T927" s="235"/>
      <c r="U927" s="235"/>
      <c r="V927" s="32"/>
    </row>
    <row r="928" spans="20:22">
      <c r="T928" s="235"/>
      <c r="U928" s="235"/>
      <c r="V928" s="32"/>
    </row>
    <row r="929" spans="20:22">
      <c r="T929" s="235"/>
      <c r="U929" s="235"/>
      <c r="V929" s="32"/>
    </row>
    <row r="930" spans="20:22">
      <c r="T930" s="235"/>
      <c r="U930" s="235"/>
      <c r="V930" s="32"/>
    </row>
    <row r="931" spans="20:22">
      <c r="T931" s="235"/>
      <c r="U931" s="235"/>
      <c r="V931" s="32"/>
    </row>
    <row r="932" spans="20:22">
      <c r="T932" s="235"/>
      <c r="U932" s="235"/>
      <c r="V932" s="32"/>
    </row>
    <row r="933" spans="20:22">
      <c r="T933" s="235"/>
      <c r="U933" s="235"/>
      <c r="V933" s="32"/>
    </row>
    <row r="934" spans="20:22">
      <c r="T934" s="235"/>
      <c r="U934" s="235"/>
      <c r="V934" s="32"/>
    </row>
    <row r="935" spans="20:22">
      <c r="T935" s="235"/>
      <c r="U935" s="235"/>
      <c r="V935" s="32"/>
    </row>
    <row r="936" spans="20:22">
      <c r="T936" s="235"/>
      <c r="U936" s="235"/>
      <c r="V936" s="32"/>
    </row>
    <row r="937" spans="20:22">
      <c r="T937" s="235"/>
      <c r="U937" s="235"/>
      <c r="V937" s="32"/>
    </row>
    <row r="938" spans="20:22">
      <c r="T938" s="235"/>
      <c r="U938" s="235"/>
      <c r="V938" s="32"/>
    </row>
    <row r="939" spans="20:22">
      <c r="T939" s="235"/>
      <c r="U939" s="235"/>
      <c r="V939" s="32"/>
    </row>
    <row r="940" spans="20:22">
      <c r="T940" s="235"/>
      <c r="U940" s="235"/>
      <c r="V940" s="32"/>
    </row>
    <row r="941" spans="20:22">
      <c r="T941" s="235"/>
      <c r="U941" s="235"/>
      <c r="V941" s="32"/>
    </row>
    <row r="942" spans="20:22">
      <c r="T942" s="235"/>
      <c r="U942" s="235"/>
      <c r="V942" s="32"/>
    </row>
    <row r="943" spans="20:22">
      <c r="T943" s="235"/>
      <c r="U943" s="235"/>
      <c r="V943" s="32"/>
    </row>
    <row r="944" spans="20:22">
      <c r="T944" s="235"/>
      <c r="U944" s="235"/>
      <c r="V944" s="32"/>
    </row>
    <row r="945" spans="20:22">
      <c r="T945" s="235"/>
      <c r="U945" s="235"/>
      <c r="V945" s="32"/>
    </row>
    <row r="946" spans="20:22">
      <c r="T946" s="235"/>
      <c r="U946" s="235"/>
      <c r="V946" s="32"/>
    </row>
    <row r="947" spans="20:22">
      <c r="T947" s="235"/>
      <c r="U947" s="235"/>
      <c r="V947" s="32"/>
    </row>
    <row r="948" spans="20:22">
      <c r="T948" s="235"/>
      <c r="U948" s="235"/>
      <c r="V948" s="32"/>
    </row>
    <row r="949" spans="20:22">
      <c r="T949" s="235"/>
      <c r="U949" s="235"/>
      <c r="V949" s="32"/>
    </row>
    <row r="950" spans="20:22">
      <c r="T950" s="235"/>
      <c r="U950" s="235"/>
      <c r="V950" s="32"/>
    </row>
    <row r="951" spans="20:22">
      <c r="T951" s="235"/>
      <c r="U951" s="235"/>
      <c r="V951" s="32"/>
    </row>
    <row r="952" spans="20:22">
      <c r="T952" s="235"/>
      <c r="U952" s="235"/>
      <c r="V952" s="32"/>
    </row>
    <row r="953" spans="20:22">
      <c r="T953" s="235"/>
      <c r="U953" s="235"/>
      <c r="V953" s="32"/>
    </row>
    <row r="954" spans="20:22">
      <c r="T954" s="235"/>
      <c r="U954" s="235"/>
      <c r="V954" s="32"/>
    </row>
    <row r="955" spans="20:22">
      <c r="T955" s="235"/>
      <c r="U955" s="235"/>
      <c r="V955" s="32"/>
    </row>
    <row r="956" spans="20:22">
      <c r="T956" s="235"/>
      <c r="U956" s="235"/>
      <c r="V956" s="32"/>
    </row>
    <row r="957" spans="20:22">
      <c r="T957" s="235"/>
      <c r="U957" s="235"/>
      <c r="V957" s="32"/>
    </row>
    <row r="958" spans="20:22">
      <c r="T958" s="235"/>
      <c r="U958" s="235"/>
      <c r="V958" s="32"/>
    </row>
    <row r="959" spans="20:22">
      <c r="T959" s="235"/>
      <c r="U959" s="235"/>
      <c r="V959" s="32"/>
    </row>
    <row r="960" spans="20:22">
      <c r="T960" s="235"/>
      <c r="U960" s="235"/>
      <c r="V960" s="32"/>
    </row>
    <row r="961" spans="20:22">
      <c r="T961" s="235"/>
      <c r="U961" s="235"/>
      <c r="V961" s="32"/>
    </row>
    <row r="962" spans="20:22">
      <c r="T962" s="235"/>
      <c r="U962" s="235"/>
      <c r="V962" s="32"/>
    </row>
    <row r="963" spans="20:22">
      <c r="T963" s="235"/>
      <c r="U963" s="235"/>
      <c r="V963" s="32"/>
    </row>
    <row r="964" spans="20:22">
      <c r="T964" s="235"/>
      <c r="U964" s="235"/>
      <c r="V964" s="32"/>
    </row>
    <row r="965" spans="20:22">
      <c r="T965" s="235"/>
      <c r="U965" s="235"/>
      <c r="V965" s="32"/>
    </row>
    <row r="966" spans="20:22">
      <c r="T966" s="235"/>
      <c r="U966" s="235"/>
      <c r="V966" s="32"/>
    </row>
    <row r="967" spans="20:22">
      <c r="T967" s="235"/>
      <c r="U967" s="235"/>
      <c r="V967" s="32"/>
    </row>
    <row r="968" spans="20:22">
      <c r="T968" s="235"/>
      <c r="U968" s="235"/>
      <c r="V968" s="32"/>
    </row>
    <row r="969" spans="20:22">
      <c r="T969" s="235"/>
      <c r="U969" s="235"/>
      <c r="V969" s="32"/>
    </row>
    <row r="970" spans="20:22">
      <c r="T970" s="235"/>
      <c r="U970" s="235"/>
      <c r="V970" s="32"/>
    </row>
    <row r="971" spans="20:22">
      <c r="T971" s="235"/>
      <c r="U971" s="235"/>
      <c r="V971" s="32"/>
    </row>
    <row r="972" spans="20:22">
      <c r="T972" s="235"/>
      <c r="U972" s="235"/>
      <c r="V972" s="32"/>
    </row>
    <row r="973" spans="20:22">
      <c r="T973" s="235"/>
      <c r="U973" s="235"/>
      <c r="V973" s="32"/>
    </row>
    <row r="974" spans="20:22">
      <c r="T974" s="235"/>
      <c r="U974" s="235"/>
      <c r="V974" s="32"/>
    </row>
    <row r="975" spans="20:22">
      <c r="T975" s="235"/>
      <c r="U975" s="235"/>
      <c r="V975" s="32"/>
    </row>
    <row r="976" spans="20:22">
      <c r="T976" s="235"/>
      <c r="U976" s="235"/>
      <c r="V976" s="32"/>
    </row>
    <row r="977" spans="20:22">
      <c r="T977" s="235"/>
      <c r="U977" s="235"/>
      <c r="V977" s="32"/>
    </row>
    <row r="978" spans="20:22">
      <c r="T978" s="235"/>
      <c r="U978" s="235"/>
      <c r="V978" s="32"/>
    </row>
    <row r="979" spans="20:22">
      <c r="T979" s="235"/>
      <c r="U979" s="235"/>
      <c r="V979" s="32"/>
    </row>
    <row r="980" spans="20:22">
      <c r="T980" s="235"/>
      <c r="U980" s="235"/>
      <c r="V980" s="32"/>
    </row>
    <row r="981" spans="20:22">
      <c r="T981" s="235"/>
      <c r="U981" s="235"/>
      <c r="V981" s="32"/>
    </row>
    <row r="982" spans="20:22">
      <c r="T982" s="235"/>
      <c r="U982" s="235"/>
      <c r="V982" s="32"/>
    </row>
    <row r="983" spans="20:22">
      <c r="T983" s="235"/>
      <c r="U983" s="235"/>
      <c r="V983" s="32"/>
    </row>
    <row r="984" spans="20:22">
      <c r="T984" s="235"/>
      <c r="U984" s="235"/>
      <c r="V984" s="32"/>
    </row>
    <row r="985" spans="20:22">
      <c r="T985" s="235"/>
      <c r="U985" s="235"/>
      <c r="V985" s="32"/>
    </row>
    <row r="986" spans="20:22">
      <c r="T986" s="235"/>
      <c r="U986" s="235"/>
      <c r="V986" s="32"/>
    </row>
    <row r="987" spans="20:22">
      <c r="T987" s="235"/>
      <c r="U987" s="235"/>
      <c r="V987" s="32"/>
    </row>
    <row r="988" spans="20:22">
      <c r="T988" s="235"/>
      <c r="U988" s="235"/>
      <c r="V988" s="32"/>
    </row>
    <row r="989" spans="20:22">
      <c r="T989" s="235"/>
      <c r="U989" s="235"/>
      <c r="V989" s="32"/>
    </row>
    <row r="990" spans="20:22">
      <c r="T990" s="235"/>
      <c r="U990" s="235"/>
      <c r="V990" s="32"/>
    </row>
    <row r="991" spans="20:22">
      <c r="T991" s="235"/>
      <c r="U991" s="235"/>
      <c r="V991" s="32"/>
    </row>
    <row r="992" spans="20:22">
      <c r="T992" s="235"/>
      <c r="U992" s="235"/>
      <c r="V992" s="32"/>
    </row>
    <row r="993" spans="20:22">
      <c r="T993" s="235"/>
      <c r="U993" s="235"/>
      <c r="V993" s="32"/>
    </row>
    <row r="994" spans="20:22">
      <c r="T994" s="235"/>
      <c r="U994" s="235"/>
      <c r="V994" s="32"/>
    </row>
    <row r="995" spans="20:22">
      <c r="T995" s="235"/>
      <c r="U995" s="235"/>
      <c r="V995" s="32"/>
    </row>
    <row r="996" spans="20:22">
      <c r="T996" s="235"/>
      <c r="U996" s="235"/>
      <c r="V996" s="32"/>
    </row>
    <row r="997" spans="20:22">
      <c r="T997" s="235"/>
      <c r="U997" s="235"/>
      <c r="V997" s="32"/>
    </row>
    <row r="998" spans="20:22">
      <c r="T998" s="235"/>
      <c r="U998" s="235"/>
      <c r="V998" s="32"/>
    </row>
    <row r="999" spans="20:22">
      <c r="T999" s="235"/>
      <c r="U999" s="235"/>
      <c r="V999" s="32"/>
    </row>
    <row r="1000" spans="20:22">
      <c r="T1000" s="235"/>
      <c r="U1000" s="235"/>
      <c r="V1000" s="32"/>
    </row>
    <row r="1001" spans="20:22">
      <c r="T1001" s="235"/>
      <c r="U1001" s="235"/>
      <c r="V1001" s="32"/>
    </row>
    <row r="1002" spans="20:22">
      <c r="T1002" s="235"/>
      <c r="U1002" s="235"/>
      <c r="V1002" s="32"/>
    </row>
    <row r="1003" spans="20:22">
      <c r="T1003" s="235"/>
      <c r="U1003" s="235"/>
      <c r="V1003" s="32"/>
    </row>
    <row r="1004" spans="20:22">
      <c r="T1004" s="235"/>
      <c r="U1004" s="235"/>
      <c r="V1004" s="32"/>
    </row>
    <row r="1005" spans="20:22">
      <c r="T1005" s="235"/>
      <c r="U1005" s="235"/>
      <c r="V1005" s="32"/>
    </row>
    <row r="1006" spans="20:22">
      <c r="T1006" s="235"/>
      <c r="U1006" s="235"/>
      <c r="V1006" s="32"/>
    </row>
    <row r="1007" spans="20:22">
      <c r="T1007" s="235"/>
      <c r="U1007" s="235"/>
      <c r="V1007" s="32"/>
    </row>
    <row r="1008" spans="20:22">
      <c r="T1008" s="235"/>
      <c r="U1008" s="235"/>
      <c r="V1008" s="32"/>
    </row>
    <row r="1009" spans="20:22">
      <c r="T1009" s="235"/>
      <c r="U1009" s="235"/>
      <c r="V1009" s="32"/>
    </row>
    <row r="1010" spans="20:22">
      <c r="T1010" s="235"/>
      <c r="U1010" s="235"/>
      <c r="V1010" s="32"/>
    </row>
    <row r="1011" spans="20:22">
      <c r="T1011" s="235"/>
      <c r="U1011" s="235"/>
      <c r="V1011" s="32"/>
    </row>
    <row r="1012" spans="20:22">
      <c r="T1012" s="235"/>
      <c r="U1012" s="235"/>
      <c r="V1012" s="32"/>
    </row>
    <row r="1013" spans="20:22">
      <c r="T1013" s="235"/>
      <c r="U1013" s="235"/>
      <c r="V1013" s="32"/>
    </row>
    <row r="1014" spans="20:22">
      <c r="T1014" s="235"/>
      <c r="U1014" s="235"/>
      <c r="V1014" s="32"/>
    </row>
    <row r="1015" spans="20:22">
      <c r="T1015" s="235"/>
      <c r="U1015" s="235"/>
      <c r="V1015" s="32"/>
    </row>
    <row r="1016" spans="20:22">
      <c r="T1016" s="235"/>
      <c r="U1016" s="235"/>
      <c r="V1016" s="32"/>
    </row>
    <row r="1017" spans="20:22">
      <c r="T1017" s="235"/>
      <c r="U1017" s="235"/>
      <c r="V1017" s="32"/>
    </row>
    <row r="1018" spans="20:22">
      <c r="T1018" s="235"/>
      <c r="U1018" s="235"/>
      <c r="V1018" s="32"/>
    </row>
    <row r="1019" spans="20:22">
      <c r="T1019" s="235"/>
      <c r="U1019" s="235"/>
      <c r="V1019" s="32"/>
    </row>
    <row r="1020" spans="20:22">
      <c r="T1020" s="235"/>
      <c r="U1020" s="235"/>
      <c r="V1020" s="32"/>
    </row>
    <row r="1021" spans="20:22">
      <c r="T1021" s="235"/>
      <c r="U1021" s="235"/>
      <c r="V1021" s="32"/>
    </row>
    <row r="1022" spans="20:22">
      <c r="T1022" s="235"/>
      <c r="U1022" s="235"/>
      <c r="V1022" s="32"/>
    </row>
    <row r="1023" spans="20:22">
      <c r="T1023" s="235"/>
      <c r="U1023" s="235"/>
      <c r="V1023" s="32"/>
    </row>
    <row r="1024" spans="20:22">
      <c r="T1024" s="235"/>
      <c r="U1024" s="235"/>
      <c r="V1024" s="32"/>
    </row>
    <row r="1025" spans="20:22">
      <c r="T1025" s="235"/>
      <c r="U1025" s="235"/>
      <c r="V1025" s="32"/>
    </row>
    <row r="1026" spans="20:22">
      <c r="T1026" s="235"/>
      <c r="U1026" s="235"/>
      <c r="V1026" s="32"/>
    </row>
    <row r="1027" spans="20:22">
      <c r="T1027" s="235"/>
      <c r="U1027" s="235"/>
      <c r="V1027" s="32"/>
    </row>
    <row r="1028" spans="20:22">
      <c r="T1028" s="235"/>
      <c r="U1028" s="235"/>
      <c r="V1028" s="32"/>
    </row>
    <row r="1029" spans="20:22">
      <c r="T1029" s="235"/>
      <c r="U1029" s="235"/>
      <c r="V1029" s="32"/>
    </row>
    <row r="1030" spans="20:22">
      <c r="T1030" s="235"/>
      <c r="U1030" s="235"/>
      <c r="V1030" s="32"/>
    </row>
    <row r="1031" spans="20:22">
      <c r="T1031" s="235"/>
      <c r="U1031" s="235"/>
      <c r="V1031" s="32"/>
    </row>
    <row r="1032" spans="20:22">
      <c r="T1032" s="235"/>
      <c r="U1032" s="235"/>
      <c r="V1032" s="32"/>
    </row>
    <row r="1033" spans="20:22">
      <c r="T1033" s="235"/>
      <c r="U1033" s="235"/>
      <c r="V1033" s="32"/>
    </row>
    <row r="1034" spans="20:22">
      <c r="T1034" s="235"/>
      <c r="U1034" s="235"/>
      <c r="V1034" s="32"/>
    </row>
    <row r="1035" spans="20:22">
      <c r="T1035" s="235"/>
      <c r="U1035" s="235"/>
      <c r="V1035" s="32"/>
    </row>
    <row r="1036" spans="20:22">
      <c r="T1036" s="235"/>
      <c r="U1036" s="235"/>
      <c r="V1036" s="32"/>
    </row>
    <row r="1037" spans="20:22">
      <c r="T1037" s="235"/>
      <c r="U1037" s="235"/>
      <c r="V1037" s="32"/>
    </row>
    <row r="1038" spans="20:22">
      <c r="T1038" s="235"/>
      <c r="U1038" s="235"/>
      <c r="V1038" s="32"/>
    </row>
    <row r="1039" spans="20:22">
      <c r="T1039" s="235"/>
      <c r="U1039" s="235"/>
      <c r="V1039" s="32"/>
    </row>
    <row r="1040" spans="20:22">
      <c r="T1040" s="235"/>
      <c r="U1040" s="235"/>
      <c r="V1040" s="32"/>
    </row>
    <row r="1041" spans="20:22">
      <c r="T1041" s="235"/>
      <c r="U1041" s="235"/>
      <c r="V1041" s="32"/>
    </row>
    <row r="1042" spans="20:22">
      <c r="T1042" s="235"/>
      <c r="U1042" s="235"/>
      <c r="V1042" s="32"/>
    </row>
    <row r="1043" spans="20:22">
      <c r="T1043" s="235"/>
      <c r="U1043" s="235"/>
      <c r="V1043" s="32"/>
    </row>
    <row r="1044" spans="20:22">
      <c r="T1044" s="235"/>
      <c r="U1044" s="235"/>
      <c r="V1044" s="32"/>
    </row>
    <row r="1045" spans="20:22">
      <c r="T1045" s="235"/>
      <c r="U1045" s="235"/>
      <c r="V1045" s="32"/>
    </row>
    <row r="1046" spans="20:22">
      <c r="T1046" s="235"/>
      <c r="U1046" s="235"/>
      <c r="V1046" s="32"/>
    </row>
    <row r="1047" spans="20:22">
      <c r="T1047" s="235"/>
      <c r="U1047" s="235"/>
      <c r="V1047" s="32"/>
    </row>
    <row r="1048" spans="20:22">
      <c r="T1048" s="235"/>
      <c r="U1048" s="235"/>
      <c r="V1048" s="32"/>
    </row>
    <row r="1049" spans="20:22">
      <c r="T1049" s="235"/>
      <c r="U1049" s="235"/>
      <c r="V1049" s="32"/>
    </row>
    <row r="1050" spans="20:22">
      <c r="T1050" s="235"/>
      <c r="U1050" s="235"/>
      <c r="V1050" s="32"/>
    </row>
    <row r="1051" spans="20:22">
      <c r="T1051" s="235"/>
      <c r="U1051" s="235"/>
      <c r="V1051" s="32"/>
    </row>
    <row r="1052" spans="20:22">
      <c r="T1052" s="235"/>
      <c r="U1052" s="235"/>
      <c r="V1052" s="32"/>
    </row>
    <row r="1053" spans="20:22">
      <c r="T1053" s="235"/>
      <c r="U1053" s="235"/>
      <c r="V1053" s="32"/>
    </row>
    <row r="1054" spans="20:22">
      <c r="T1054" s="235"/>
      <c r="U1054" s="235"/>
      <c r="V1054" s="32"/>
    </row>
    <row r="1055" spans="20:22">
      <c r="T1055" s="235"/>
      <c r="U1055" s="235"/>
      <c r="V1055" s="32"/>
    </row>
    <row r="1056" spans="20:22">
      <c r="T1056" s="235"/>
      <c r="U1056" s="235"/>
      <c r="V1056" s="32"/>
    </row>
    <row r="1057" spans="20:22">
      <c r="T1057" s="235"/>
      <c r="U1057" s="235"/>
      <c r="V1057" s="32"/>
    </row>
    <row r="1058" spans="20:22">
      <c r="T1058" s="235"/>
      <c r="U1058" s="235"/>
      <c r="V1058" s="32"/>
    </row>
    <row r="1059" spans="20:22">
      <c r="T1059" s="235"/>
      <c r="U1059" s="235"/>
      <c r="V1059" s="32"/>
    </row>
    <row r="1060" spans="20:22">
      <c r="T1060" s="235"/>
      <c r="U1060" s="235"/>
      <c r="V1060" s="32"/>
    </row>
    <row r="1061" spans="20:22">
      <c r="T1061" s="235"/>
      <c r="U1061" s="235"/>
      <c r="V1061" s="32"/>
    </row>
    <row r="1062" spans="20:22">
      <c r="T1062" s="235"/>
      <c r="U1062" s="235"/>
      <c r="V1062" s="32"/>
    </row>
    <row r="1063" spans="20:22">
      <c r="T1063" s="235"/>
      <c r="U1063" s="235"/>
      <c r="V1063" s="32"/>
    </row>
    <row r="1064" spans="20:22">
      <c r="T1064" s="235"/>
      <c r="U1064" s="235"/>
      <c r="V1064" s="32"/>
    </row>
    <row r="1065" spans="20:22">
      <c r="T1065" s="235"/>
      <c r="U1065" s="235"/>
      <c r="V1065" s="32"/>
    </row>
    <row r="1066" spans="20:22">
      <c r="T1066" s="235"/>
      <c r="U1066" s="235"/>
      <c r="V1066" s="32"/>
    </row>
    <row r="1067" spans="20:22">
      <c r="T1067" s="235"/>
      <c r="U1067" s="235"/>
      <c r="V1067" s="32"/>
    </row>
    <row r="1068" spans="20:22">
      <c r="T1068" s="235"/>
      <c r="U1068" s="235"/>
      <c r="V1068" s="32"/>
    </row>
    <row r="1069" spans="20:22">
      <c r="T1069" s="235"/>
      <c r="U1069" s="235"/>
      <c r="V1069" s="32"/>
    </row>
    <row r="1070" spans="20:22">
      <c r="T1070" s="235"/>
      <c r="U1070" s="235"/>
      <c r="V1070" s="32"/>
    </row>
    <row r="1071" spans="20:22">
      <c r="T1071" s="235"/>
      <c r="U1071" s="235"/>
      <c r="V1071" s="32"/>
    </row>
    <row r="1072" spans="20:22">
      <c r="T1072" s="235"/>
      <c r="U1072" s="235"/>
      <c r="V1072" s="32"/>
    </row>
    <row r="1073" spans="20:22">
      <c r="T1073" s="235"/>
      <c r="U1073" s="235"/>
      <c r="V1073" s="32"/>
    </row>
    <row r="1074" spans="20:22">
      <c r="T1074" s="235"/>
      <c r="U1074" s="235"/>
      <c r="V1074" s="32"/>
    </row>
    <row r="1075" spans="20:22">
      <c r="T1075" s="235"/>
      <c r="U1075" s="235"/>
      <c r="V1075" s="32"/>
    </row>
    <row r="1076" spans="20:22">
      <c r="T1076" s="235"/>
      <c r="U1076" s="235"/>
      <c r="V1076" s="32"/>
    </row>
    <row r="1077" spans="20:22">
      <c r="T1077" s="235"/>
      <c r="U1077" s="235"/>
      <c r="V1077" s="32"/>
    </row>
    <row r="1078" spans="20:22">
      <c r="T1078" s="235"/>
      <c r="U1078" s="235"/>
      <c r="V1078" s="32"/>
    </row>
    <row r="1079" spans="20:22">
      <c r="T1079" s="235"/>
      <c r="U1079" s="235"/>
      <c r="V1079" s="32"/>
    </row>
    <row r="1080" spans="20:22">
      <c r="T1080" s="235"/>
      <c r="U1080" s="235"/>
      <c r="V1080" s="32"/>
    </row>
    <row r="1081" spans="20:22">
      <c r="T1081" s="235"/>
      <c r="U1081" s="235"/>
      <c r="V1081" s="32"/>
    </row>
    <row r="1082" spans="20:22">
      <c r="T1082" s="235"/>
      <c r="U1082" s="235"/>
      <c r="V1082" s="32"/>
    </row>
    <row r="1083" spans="20:22">
      <c r="T1083" s="235"/>
      <c r="U1083" s="235"/>
      <c r="V1083" s="32"/>
    </row>
    <row r="1084" spans="20:22">
      <c r="T1084" s="235"/>
      <c r="U1084" s="235"/>
      <c r="V1084" s="32"/>
    </row>
    <row r="1085" spans="20:22">
      <c r="T1085" s="235"/>
      <c r="U1085" s="235"/>
      <c r="V1085" s="32"/>
    </row>
    <row r="1086" spans="20:22">
      <c r="T1086" s="235"/>
      <c r="U1086" s="235"/>
      <c r="V1086" s="32"/>
    </row>
    <row r="1087" spans="20:22">
      <c r="T1087" s="235"/>
      <c r="U1087" s="235"/>
      <c r="V1087" s="32"/>
    </row>
    <row r="1088" spans="20:22">
      <c r="T1088" s="235"/>
      <c r="U1088" s="235"/>
      <c r="V1088" s="32"/>
    </row>
    <row r="1089" spans="20:22">
      <c r="T1089" s="235"/>
      <c r="U1089" s="235"/>
      <c r="V1089" s="32"/>
    </row>
    <row r="1090" spans="20:22">
      <c r="T1090" s="235"/>
      <c r="U1090" s="235"/>
      <c r="V1090" s="32"/>
    </row>
    <row r="1091" spans="20:22">
      <c r="T1091" s="235"/>
      <c r="U1091" s="235"/>
      <c r="V1091" s="32"/>
    </row>
    <row r="1092" spans="20:22">
      <c r="T1092" s="235"/>
      <c r="U1092" s="235"/>
      <c r="V1092" s="32"/>
    </row>
    <row r="1093" spans="20:22">
      <c r="T1093" s="235"/>
      <c r="U1093" s="235"/>
      <c r="V1093" s="32"/>
    </row>
    <row r="1094" spans="20:22">
      <c r="T1094" s="235"/>
      <c r="U1094" s="235"/>
      <c r="V1094" s="32"/>
    </row>
    <row r="1095" spans="20:22">
      <c r="T1095" s="235"/>
      <c r="U1095" s="235"/>
      <c r="V1095" s="32"/>
    </row>
    <row r="1096" spans="20:22">
      <c r="T1096" s="235"/>
      <c r="U1096" s="235"/>
      <c r="V1096" s="32"/>
    </row>
    <row r="1097" spans="20:22">
      <c r="T1097" s="235"/>
      <c r="U1097" s="235"/>
      <c r="V1097" s="32"/>
    </row>
    <row r="1098" spans="20:22">
      <c r="T1098" s="235"/>
      <c r="U1098" s="235"/>
      <c r="V1098" s="32"/>
    </row>
    <row r="1099" spans="20:22">
      <c r="T1099" s="235"/>
      <c r="U1099" s="235"/>
      <c r="V1099" s="32"/>
    </row>
    <row r="1100" spans="20:22">
      <c r="T1100" s="235"/>
      <c r="U1100" s="235"/>
      <c r="V1100" s="32"/>
    </row>
    <row r="1101" spans="20:22">
      <c r="T1101" s="235"/>
      <c r="U1101" s="235"/>
      <c r="V1101" s="32"/>
    </row>
    <row r="1102" spans="20:22">
      <c r="T1102" s="235"/>
      <c r="U1102" s="235"/>
      <c r="V1102" s="32"/>
    </row>
    <row r="1103" spans="20:22">
      <c r="T1103" s="235"/>
      <c r="U1103" s="235"/>
      <c r="V1103" s="32"/>
    </row>
    <row r="1104" spans="20:22">
      <c r="T1104" s="235"/>
      <c r="U1104" s="235"/>
      <c r="V1104" s="32"/>
    </row>
    <row r="1105" spans="20:22">
      <c r="T1105" s="235"/>
      <c r="U1105" s="235"/>
      <c r="V1105" s="32"/>
    </row>
    <row r="1106" spans="20:22">
      <c r="T1106" s="235"/>
      <c r="U1106" s="235"/>
      <c r="V1106" s="32"/>
    </row>
    <row r="1107" spans="20:22">
      <c r="T1107" s="235"/>
      <c r="U1107" s="235"/>
      <c r="V1107" s="32"/>
    </row>
    <row r="1108" spans="20:22">
      <c r="T1108" s="235"/>
      <c r="U1108" s="235"/>
      <c r="V1108" s="32"/>
    </row>
    <row r="1109" spans="20:22">
      <c r="T1109" s="235"/>
      <c r="U1109" s="235"/>
      <c r="V1109" s="32"/>
    </row>
    <row r="1110" spans="20:22">
      <c r="T1110" s="235"/>
      <c r="U1110" s="235"/>
      <c r="V1110" s="32"/>
    </row>
    <row r="1111" spans="20:22">
      <c r="T1111" s="235"/>
      <c r="U1111" s="235"/>
      <c r="V1111" s="32"/>
    </row>
    <row r="1112" spans="20:22">
      <c r="T1112" s="235"/>
      <c r="U1112" s="235"/>
      <c r="V1112" s="32"/>
    </row>
    <row r="1113" spans="20:22">
      <c r="T1113" s="235"/>
      <c r="U1113" s="235"/>
      <c r="V1113" s="32"/>
    </row>
    <row r="1114" spans="20:22">
      <c r="T1114" s="235"/>
      <c r="U1114" s="235"/>
      <c r="V1114" s="32"/>
    </row>
    <row r="1115" spans="20:22">
      <c r="T1115" s="235"/>
      <c r="U1115" s="235"/>
      <c r="V1115" s="32"/>
    </row>
    <row r="1116" spans="20:22">
      <c r="T1116" s="235"/>
      <c r="U1116" s="235"/>
      <c r="V1116" s="32"/>
    </row>
    <row r="1117" spans="20:22">
      <c r="T1117" s="235"/>
      <c r="U1117" s="235"/>
      <c r="V1117" s="32"/>
    </row>
    <row r="1118" spans="20:22">
      <c r="T1118" s="235"/>
      <c r="U1118" s="235"/>
      <c r="V1118" s="32"/>
    </row>
    <row r="1119" spans="20:22">
      <c r="T1119" s="235"/>
      <c r="U1119" s="235"/>
      <c r="V1119" s="32"/>
    </row>
    <row r="1120" spans="20:22">
      <c r="T1120" s="235"/>
      <c r="U1120" s="235"/>
      <c r="V1120" s="32"/>
    </row>
    <row r="1121" spans="20:22">
      <c r="T1121" s="235"/>
      <c r="U1121" s="235"/>
      <c r="V1121" s="32"/>
    </row>
    <row r="1122" spans="20:22">
      <c r="T1122" s="235"/>
      <c r="U1122" s="235"/>
      <c r="V1122" s="32"/>
    </row>
    <row r="1123" spans="20:22">
      <c r="T1123" s="235"/>
      <c r="U1123" s="235"/>
      <c r="V1123" s="32"/>
    </row>
    <row r="1124" spans="20:22">
      <c r="T1124" s="235"/>
      <c r="U1124" s="235"/>
      <c r="V1124" s="32"/>
    </row>
    <row r="1125" spans="20:22">
      <c r="T1125" s="235"/>
      <c r="U1125" s="235"/>
      <c r="V1125" s="32"/>
    </row>
    <row r="1126" spans="20:22">
      <c r="T1126" s="235"/>
      <c r="U1126" s="235"/>
      <c r="V1126" s="32"/>
    </row>
    <row r="1127" spans="20:22">
      <c r="T1127" s="235"/>
      <c r="U1127" s="235"/>
      <c r="V1127" s="32"/>
    </row>
    <row r="1128" spans="20:22">
      <c r="T1128" s="235"/>
      <c r="U1128" s="235"/>
      <c r="V1128" s="32"/>
    </row>
    <row r="1129" spans="20:22">
      <c r="T1129" s="235"/>
      <c r="U1129" s="235"/>
      <c r="V1129" s="32"/>
    </row>
    <row r="1130" spans="20:22">
      <c r="T1130" s="235"/>
      <c r="U1130" s="235"/>
      <c r="V1130" s="32"/>
    </row>
    <row r="1131" spans="20:22">
      <c r="T1131" s="235"/>
      <c r="U1131" s="235"/>
      <c r="V1131" s="32"/>
    </row>
    <row r="1132" spans="20:22">
      <c r="T1132" s="235"/>
      <c r="U1132" s="235"/>
      <c r="V1132" s="32"/>
    </row>
    <row r="1133" spans="20:22">
      <c r="T1133" s="235"/>
      <c r="U1133" s="235"/>
      <c r="V1133" s="32"/>
    </row>
    <row r="1134" spans="20:22">
      <c r="T1134" s="235"/>
      <c r="U1134" s="235"/>
      <c r="V1134" s="32"/>
    </row>
    <row r="1135" spans="20:22">
      <c r="T1135" s="235"/>
      <c r="U1135" s="235"/>
      <c r="V1135" s="32"/>
    </row>
    <row r="1136" spans="20:22">
      <c r="T1136" s="235"/>
      <c r="U1136" s="235"/>
      <c r="V1136" s="32"/>
    </row>
    <row r="1137" spans="20:22">
      <c r="T1137" s="235"/>
      <c r="U1137" s="235"/>
      <c r="V1137" s="32"/>
    </row>
    <row r="1138" spans="20:22">
      <c r="T1138" s="235"/>
      <c r="U1138" s="235"/>
      <c r="V1138" s="32"/>
    </row>
    <row r="1139" spans="20:22">
      <c r="T1139" s="235"/>
      <c r="U1139" s="235"/>
      <c r="V1139" s="32"/>
    </row>
    <row r="1140" spans="20:22">
      <c r="T1140" s="235"/>
      <c r="U1140" s="235"/>
      <c r="V1140" s="32"/>
    </row>
    <row r="1141" spans="20:22">
      <c r="T1141" s="235"/>
      <c r="U1141" s="235"/>
      <c r="V1141" s="32"/>
    </row>
    <row r="1142" spans="20:22">
      <c r="T1142" s="235"/>
      <c r="U1142" s="235"/>
      <c r="V1142" s="32"/>
    </row>
    <row r="1143" spans="20:22">
      <c r="T1143" s="235"/>
      <c r="U1143" s="235"/>
      <c r="V1143" s="32"/>
    </row>
    <row r="1144" spans="20:22">
      <c r="T1144" s="235"/>
      <c r="U1144" s="235"/>
      <c r="V1144" s="32"/>
    </row>
    <row r="1145" spans="20:22">
      <c r="T1145" s="235"/>
      <c r="U1145" s="235"/>
      <c r="V1145" s="32"/>
    </row>
    <row r="1146" spans="20:22">
      <c r="T1146" s="235"/>
      <c r="U1146" s="235"/>
      <c r="V1146" s="32"/>
    </row>
    <row r="1147" spans="20:22">
      <c r="T1147" s="235"/>
      <c r="U1147" s="235"/>
      <c r="V1147" s="32"/>
    </row>
    <row r="1148" spans="20:22">
      <c r="T1148" s="235"/>
      <c r="U1148" s="235"/>
      <c r="V1148" s="32"/>
    </row>
    <row r="1149" spans="20:22">
      <c r="T1149" s="235"/>
      <c r="U1149" s="235"/>
      <c r="V1149" s="32"/>
    </row>
    <row r="1150" spans="20:22">
      <c r="T1150" s="235"/>
      <c r="U1150" s="235"/>
      <c r="V1150" s="32"/>
    </row>
    <row r="1151" spans="20:22">
      <c r="T1151" s="235"/>
      <c r="U1151" s="235"/>
      <c r="V1151" s="32"/>
    </row>
    <row r="1152" spans="20:22">
      <c r="T1152" s="235"/>
      <c r="U1152" s="235"/>
      <c r="V1152" s="32"/>
    </row>
    <row r="1153" spans="20:22">
      <c r="T1153" s="235"/>
      <c r="U1153" s="235"/>
      <c r="V1153" s="32"/>
    </row>
    <row r="1154" spans="20:22">
      <c r="T1154" s="235"/>
      <c r="U1154" s="235"/>
      <c r="V1154" s="32"/>
    </row>
    <row r="1155" spans="20:22">
      <c r="T1155" s="235"/>
      <c r="U1155" s="235"/>
      <c r="V1155" s="32"/>
    </row>
    <row r="1156" spans="20:22">
      <c r="T1156" s="235"/>
      <c r="U1156" s="235"/>
      <c r="V1156" s="32"/>
    </row>
    <row r="1157" spans="20:22">
      <c r="T1157" s="235"/>
      <c r="U1157" s="235"/>
      <c r="V1157" s="32"/>
    </row>
    <row r="1158" spans="20:22">
      <c r="T1158" s="235"/>
      <c r="U1158" s="235"/>
      <c r="V1158" s="32"/>
    </row>
    <row r="1159" spans="20:22">
      <c r="T1159" s="235"/>
      <c r="U1159" s="235"/>
      <c r="V1159" s="32"/>
    </row>
    <row r="1160" spans="20:22">
      <c r="T1160" s="235"/>
      <c r="U1160" s="235"/>
      <c r="V1160" s="32"/>
    </row>
    <row r="1161" spans="20:22">
      <c r="T1161" s="235"/>
      <c r="U1161" s="235"/>
      <c r="V1161" s="32"/>
    </row>
    <row r="1162" spans="20:22">
      <c r="T1162" s="235"/>
      <c r="U1162" s="235"/>
      <c r="V1162" s="32"/>
    </row>
    <row r="1163" spans="20:22">
      <c r="T1163" s="235"/>
      <c r="U1163" s="235"/>
      <c r="V1163" s="32"/>
    </row>
    <row r="1164" spans="20:22">
      <c r="T1164" s="235"/>
      <c r="U1164" s="235"/>
      <c r="V1164" s="32"/>
    </row>
    <row r="1165" spans="20:22">
      <c r="T1165" s="235"/>
      <c r="U1165" s="235"/>
      <c r="V1165" s="32"/>
    </row>
    <row r="1166" spans="20:22">
      <c r="T1166" s="235"/>
      <c r="U1166" s="235"/>
      <c r="V1166" s="32"/>
    </row>
    <row r="1167" spans="20:22">
      <c r="T1167" s="235"/>
      <c r="U1167" s="235"/>
      <c r="V1167" s="32"/>
    </row>
    <row r="1168" spans="20:22">
      <c r="T1168" s="235"/>
      <c r="U1168" s="235"/>
      <c r="V1168" s="32"/>
    </row>
    <row r="1169" spans="20:22">
      <c r="T1169" s="235"/>
      <c r="U1169" s="235"/>
      <c r="V1169" s="32"/>
    </row>
    <row r="1170" spans="20:22">
      <c r="T1170" s="235"/>
      <c r="U1170" s="235"/>
      <c r="V1170" s="32"/>
    </row>
    <row r="1171" spans="20:22">
      <c r="T1171" s="235"/>
      <c r="U1171" s="235"/>
      <c r="V1171" s="32"/>
    </row>
    <row r="1172" spans="20:22">
      <c r="T1172" s="235"/>
      <c r="U1172" s="235"/>
      <c r="V1172" s="32"/>
    </row>
    <row r="1173" spans="20:22">
      <c r="T1173" s="235"/>
      <c r="U1173" s="235"/>
      <c r="V1173" s="32"/>
    </row>
    <row r="1174" spans="20:22">
      <c r="T1174" s="235"/>
      <c r="U1174" s="235"/>
      <c r="V1174" s="32"/>
    </row>
    <row r="1175" spans="20:22">
      <c r="T1175" s="235"/>
      <c r="U1175" s="235"/>
      <c r="V1175" s="32"/>
    </row>
    <row r="1176" spans="20:22">
      <c r="T1176" s="235"/>
      <c r="U1176" s="235"/>
      <c r="V1176" s="32"/>
    </row>
    <row r="1177" spans="20:22">
      <c r="T1177" s="235"/>
      <c r="U1177" s="235"/>
      <c r="V1177" s="32"/>
    </row>
    <row r="1178" spans="20:22">
      <c r="T1178" s="235"/>
      <c r="U1178" s="235"/>
      <c r="V1178" s="32"/>
    </row>
    <row r="1179" spans="20:22">
      <c r="T1179" s="235"/>
      <c r="U1179" s="235"/>
      <c r="V1179" s="32"/>
    </row>
    <row r="1180" spans="20:22">
      <c r="T1180" s="235"/>
      <c r="U1180" s="235"/>
      <c r="V1180" s="32"/>
    </row>
    <row r="1181" spans="20:22">
      <c r="T1181" s="235"/>
      <c r="U1181" s="235"/>
      <c r="V1181" s="32"/>
    </row>
    <row r="1182" spans="20:22">
      <c r="T1182" s="235"/>
      <c r="U1182" s="235"/>
      <c r="V1182" s="32"/>
    </row>
    <row r="1183" spans="20:22">
      <c r="T1183" s="235"/>
      <c r="U1183" s="235"/>
      <c r="V1183" s="32"/>
    </row>
    <row r="1184" spans="20:22">
      <c r="T1184" s="235"/>
      <c r="U1184" s="235"/>
      <c r="V1184" s="32"/>
    </row>
    <row r="1185" spans="20:22">
      <c r="T1185" s="235"/>
      <c r="U1185" s="235"/>
      <c r="V1185" s="32"/>
    </row>
    <row r="1186" spans="20:22">
      <c r="T1186" s="235"/>
      <c r="U1186" s="235"/>
      <c r="V1186" s="32"/>
    </row>
    <row r="1187" spans="20:22">
      <c r="T1187" s="235"/>
      <c r="U1187" s="235"/>
      <c r="V1187" s="32"/>
    </row>
    <row r="1188" spans="20:22">
      <c r="T1188" s="235"/>
      <c r="U1188" s="235"/>
    </row>
    <row r="1189" spans="20:22">
      <c r="T1189" s="235"/>
      <c r="U1189" s="235"/>
    </row>
    <row r="1190" spans="20:22">
      <c r="T1190" s="235"/>
      <c r="U1190" s="235"/>
    </row>
    <row r="1191" spans="20:22">
      <c r="T1191" s="235"/>
      <c r="U1191" s="235"/>
    </row>
    <row r="1192" spans="20:22">
      <c r="T1192" s="235"/>
      <c r="U1192" s="235"/>
    </row>
    <row r="1193" spans="20:22">
      <c r="T1193" s="235"/>
      <c r="U1193" s="235"/>
    </row>
    <row r="1194" spans="20:22">
      <c r="T1194" s="235"/>
      <c r="U1194" s="235"/>
    </row>
    <row r="1195" spans="20:22">
      <c r="T1195" s="235"/>
      <c r="U1195" s="235"/>
    </row>
    <row r="1196" spans="20:22">
      <c r="T1196" s="235"/>
      <c r="U1196" s="235"/>
    </row>
    <row r="1197" spans="20:22">
      <c r="T1197" s="235"/>
      <c r="U1197" s="235"/>
    </row>
    <row r="1198" spans="20:22">
      <c r="T1198" s="235"/>
      <c r="U1198" s="235"/>
    </row>
    <row r="1199" spans="20:22">
      <c r="T1199" s="235"/>
      <c r="U1199" s="235"/>
    </row>
    <row r="1200" spans="20:22">
      <c r="T1200" s="235"/>
      <c r="U1200" s="235"/>
    </row>
    <row r="1201" spans="20:21">
      <c r="T1201" s="235"/>
      <c r="U1201" s="235"/>
    </row>
    <row r="1202" spans="20:21">
      <c r="T1202" s="235"/>
      <c r="U1202" s="235"/>
    </row>
    <row r="1203" spans="20:21">
      <c r="T1203" s="235"/>
      <c r="U1203" s="235"/>
    </row>
    <row r="1204" spans="20:21">
      <c r="T1204" s="235"/>
      <c r="U1204" s="235"/>
    </row>
    <row r="1205" spans="20:21">
      <c r="T1205" s="235"/>
      <c r="U1205" s="235"/>
    </row>
    <row r="1206" spans="20:21">
      <c r="T1206" s="235"/>
      <c r="U1206" s="235"/>
    </row>
    <row r="1207" spans="20:21">
      <c r="T1207" s="235"/>
      <c r="U1207" s="235"/>
    </row>
    <row r="1208" spans="20:21">
      <c r="T1208" s="235"/>
      <c r="U1208" s="235"/>
    </row>
    <row r="1209" spans="20:21">
      <c r="T1209" s="235"/>
      <c r="U1209" s="235"/>
    </row>
    <row r="1210" spans="20:21">
      <c r="T1210" s="235"/>
      <c r="U1210" s="235"/>
    </row>
    <row r="1211" spans="20:21">
      <c r="T1211" s="235"/>
      <c r="U1211" s="235"/>
    </row>
    <row r="1212" spans="20:21">
      <c r="T1212" s="235"/>
      <c r="U1212" s="235"/>
    </row>
    <row r="1213" spans="20:21">
      <c r="T1213" s="235"/>
      <c r="U1213" s="235"/>
    </row>
    <row r="1214" spans="20:21">
      <c r="T1214" s="235"/>
      <c r="U1214" s="235"/>
    </row>
    <row r="1215" spans="20:21">
      <c r="T1215" s="235"/>
      <c r="U1215" s="235"/>
    </row>
    <row r="1216" spans="20:21">
      <c r="T1216" s="235"/>
      <c r="U1216" s="235"/>
    </row>
    <row r="1217" spans="20:21">
      <c r="T1217" s="235"/>
      <c r="U1217" s="235"/>
    </row>
    <row r="1218" spans="20:21">
      <c r="T1218" s="235"/>
      <c r="U1218" s="235"/>
    </row>
    <row r="1219" spans="20:21">
      <c r="T1219" s="235"/>
      <c r="U1219" s="235"/>
    </row>
    <row r="1220" spans="20:21">
      <c r="T1220" s="235"/>
      <c r="U1220" s="235"/>
    </row>
    <row r="1221" spans="20:21">
      <c r="T1221" s="235"/>
      <c r="U1221" s="235"/>
    </row>
    <row r="1222" spans="20:21">
      <c r="T1222" s="235"/>
      <c r="U1222" s="235"/>
    </row>
    <row r="1223" spans="20:21">
      <c r="T1223" s="235"/>
      <c r="U1223" s="235"/>
    </row>
    <row r="1224" spans="20:21">
      <c r="T1224" s="235"/>
      <c r="U1224" s="235"/>
    </row>
    <row r="1225" spans="20:21">
      <c r="T1225" s="235"/>
      <c r="U1225" s="235"/>
    </row>
    <row r="1226" spans="20:21">
      <c r="T1226" s="235"/>
      <c r="U1226" s="235"/>
    </row>
    <row r="1227" spans="20:21">
      <c r="T1227" s="235"/>
      <c r="U1227" s="235"/>
    </row>
    <row r="1228" spans="20:21">
      <c r="T1228" s="235"/>
      <c r="U1228" s="235"/>
    </row>
    <row r="1229" spans="20:21">
      <c r="T1229" s="235"/>
      <c r="U1229" s="235"/>
    </row>
    <row r="1230" spans="20:21">
      <c r="T1230" s="235"/>
      <c r="U1230" s="235"/>
    </row>
    <row r="1231" spans="20:21">
      <c r="T1231" s="235"/>
      <c r="U1231" s="235"/>
    </row>
    <row r="1232" spans="20:21">
      <c r="T1232" s="235"/>
      <c r="U1232" s="235"/>
    </row>
    <row r="1233" spans="20:21">
      <c r="T1233" s="235"/>
      <c r="U1233" s="235"/>
    </row>
    <row r="1234" spans="20:21">
      <c r="T1234" s="235"/>
      <c r="U1234" s="235"/>
    </row>
    <row r="1235" spans="20:21">
      <c r="T1235" s="235"/>
      <c r="U1235" s="235"/>
    </row>
    <row r="1236" spans="20:21">
      <c r="T1236" s="235"/>
      <c r="U1236" s="235"/>
    </row>
    <row r="1237" spans="20:21">
      <c r="T1237" s="235"/>
      <c r="U1237" s="235"/>
    </row>
    <row r="1238" spans="20:21">
      <c r="T1238" s="235"/>
      <c r="U1238" s="235"/>
    </row>
    <row r="1239" spans="20:21">
      <c r="T1239" s="235"/>
      <c r="U1239" s="235"/>
    </row>
    <row r="1240" spans="20:21">
      <c r="T1240" s="235"/>
      <c r="U1240" s="235"/>
    </row>
    <row r="1241" spans="20:21">
      <c r="T1241" s="235"/>
      <c r="U1241" s="235"/>
    </row>
    <row r="1242" spans="20:21">
      <c r="T1242" s="235"/>
      <c r="U1242" s="235"/>
    </row>
    <row r="1243" spans="20:21">
      <c r="T1243" s="235"/>
      <c r="U1243" s="235"/>
    </row>
    <row r="1244" spans="20:21">
      <c r="T1244" s="235"/>
      <c r="U1244" s="235"/>
    </row>
    <row r="1245" spans="20:21">
      <c r="T1245" s="235"/>
      <c r="U1245" s="235"/>
    </row>
    <row r="1246" spans="20:21">
      <c r="T1246" s="235"/>
      <c r="U1246" s="235"/>
    </row>
    <row r="1247" spans="20:21">
      <c r="T1247" s="235"/>
      <c r="U1247" s="235"/>
    </row>
    <row r="1248" spans="20:21">
      <c r="T1248" s="235"/>
      <c r="U1248" s="235"/>
    </row>
    <row r="1249" spans="20:21">
      <c r="T1249" s="235"/>
      <c r="U1249" s="235"/>
    </row>
    <row r="1250" spans="20:21">
      <c r="T1250" s="235"/>
      <c r="U1250" s="235"/>
    </row>
    <row r="1251" spans="20:21">
      <c r="T1251" s="235"/>
      <c r="U1251" s="235"/>
    </row>
    <row r="1252" spans="20:21">
      <c r="T1252" s="235"/>
      <c r="U1252" s="235"/>
    </row>
    <row r="1253" spans="20:21">
      <c r="T1253" s="235"/>
      <c r="U1253" s="235"/>
    </row>
    <row r="1254" spans="20:21">
      <c r="T1254" s="235"/>
      <c r="U1254" s="235"/>
    </row>
    <row r="1255" spans="20:21">
      <c r="T1255" s="235"/>
      <c r="U1255" s="235"/>
    </row>
    <row r="1256" spans="20:21">
      <c r="T1256" s="235"/>
      <c r="U1256" s="235"/>
    </row>
    <row r="1257" spans="20:21">
      <c r="T1257" s="235"/>
      <c r="U1257" s="235"/>
    </row>
    <row r="1258" spans="20:21">
      <c r="T1258" s="235"/>
      <c r="U1258" s="235"/>
    </row>
    <row r="1259" spans="20:21">
      <c r="T1259" s="235"/>
      <c r="U1259" s="235"/>
    </row>
    <row r="1260" spans="20:21">
      <c r="T1260" s="235"/>
      <c r="U1260" s="235"/>
    </row>
    <row r="1261" spans="20:21">
      <c r="T1261" s="235"/>
      <c r="U1261" s="235"/>
    </row>
    <row r="1262" spans="20:21">
      <c r="T1262" s="235"/>
      <c r="U1262" s="235"/>
    </row>
    <row r="1263" spans="20:21">
      <c r="T1263" s="235"/>
      <c r="U1263" s="235"/>
    </row>
    <row r="1264" spans="20:21">
      <c r="T1264" s="235"/>
      <c r="U1264" s="235"/>
    </row>
    <row r="1265" spans="20:21">
      <c r="T1265" s="235"/>
      <c r="U1265" s="235"/>
    </row>
    <row r="1266" spans="20:21">
      <c r="T1266" s="235"/>
      <c r="U1266" s="235"/>
    </row>
    <row r="1267" spans="20:21">
      <c r="T1267" s="235"/>
      <c r="U1267" s="235"/>
    </row>
    <row r="1268" spans="20:21">
      <c r="T1268" s="235"/>
      <c r="U1268" s="235"/>
    </row>
    <row r="1269" spans="20:21">
      <c r="T1269" s="235"/>
      <c r="U1269" s="235"/>
    </row>
    <row r="1270" spans="20:21">
      <c r="T1270" s="235"/>
      <c r="U1270" s="235"/>
    </row>
    <row r="1271" spans="20:21">
      <c r="T1271" s="235"/>
      <c r="U1271" s="235"/>
    </row>
    <row r="1272" spans="20:21">
      <c r="T1272" s="235"/>
      <c r="U1272" s="235"/>
    </row>
    <row r="1273" spans="20:21">
      <c r="T1273" s="235"/>
      <c r="U1273" s="235"/>
    </row>
    <row r="1274" spans="20:21">
      <c r="T1274" s="235"/>
      <c r="U1274" s="235"/>
    </row>
    <row r="1275" spans="20:21">
      <c r="T1275" s="235"/>
      <c r="U1275" s="235"/>
    </row>
    <row r="1276" spans="20:21">
      <c r="T1276" s="235"/>
      <c r="U1276" s="235"/>
    </row>
    <row r="1277" spans="20:21">
      <c r="T1277" s="235"/>
      <c r="U1277" s="235"/>
    </row>
    <row r="1278" spans="20:21">
      <c r="T1278" s="235"/>
      <c r="U1278" s="235"/>
    </row>
    <row r="1279" spans="20:21">
      <c r="T1279" s="235"/>
      <c r="U1279" s="235"/>
    </row>
    <row r="1280" spans="20:21">
      <c r="T1280" s="235"/>
      <c r="U1280" s="235"/>
    </row>
    <row r="1281" spans="20:21">
      <c r="T1281" s="235"/>
      <c r="U1281" s="235"/>
    </row>
    <row r="1282" spans="20:21">
      <c r="T1282" s="235"/>
      <c r="U1282" s="235"/>
    </row>
    <row r="1283" spans="20:21">
      <c r="T1283" s="235"/>
      <c r="U1283" s="235"/>
    </row>
    <row r="1284" spans="20:21">
      <c r="T1284" s="235"/>
      <c r="U1284" s="235"/>
    </row>
    <row r="1285" spans="20:21">
      <c r="T1285" s="235"/>
      <c r="U1285" s="235"/>
    </row>
    <row r="1286" spans="20:21">
      <c r="T1286" s="235"/>
      <c r="U1286" s="235"/>
    </row>
    <row r="1287" spans="20:21">
      <c r="T1287" s="235"/>
      <c r="U1287" s="235"/>
    </row>
    <row r="1288" spans="20:21">
      <c r="T1288" s="235"/>
      <c r="U1288" s="235"/>
    </row>
    <row r="1289" spans="20:21">
      <c r="T1289" s="235"/>
      <c r="U1289" s="235"/>
    </row>
    <row r="1290" spans="20:21">
      <c r="T1290" s="235"/>
      <c r="U1290" s="235"/>
    </row>
    <row r="1291" spans="20:21">
      <c r="T1291" s="235"/>
      <c r="U1291" s="235"/>
    </row>
  </sheetData>
  <sortState ref="A5:AQ792">
    <sortCondition ref="D5:D792"/>
    <sortCondition descending="1" ref="H5:H792"/>
    <sortCondition ref="B5:B792"/>
    <sortCondition ref="A5:A792"/>
  </sortState>
  <mergeCells count="3">
    <mergeCell ref="E3:H3"/>
    <mergeCell ref="J3:K3"/>
    <mergeCell ref="Q3:X3"/>
  </mergeCells>
  <phoneticPr fontId="0" type="noConversion"/>
  <conditionalFormatting sqref="A3">
    <cfRule type="containsText" dxfId="4" priority="1" operator="containsText" text="CDM6044">
      <formula>NOT(ISERROR(SEARCH("CDM6044",A3)))</formula>
    </cfRule>
    <cfRule type="containsText" dxfId="3" priority="2" operator="containsText" text="CDM6043">
      <formula>NOT(ISERROR(SEARCH("CDM6043",A3)))</formula>
    </cfRule>
    <cfRule type="containsText" dxfId="2" priority="3" operator="containsText" text="CDM6043">
      <formula>NOT(ISERROR(SEARCH("CDM6043",A3)))</formula>
    </cfRule>
    <cfRule type="containsText" dxfId="1" priority="4" operator="containsText" text="CDM6043">
      <formula>NOT(ISERROR(SEARCH("CDM6043",A3)))</formula>
    </cfRule>
    <cfRule type="containsText" dxfId="0" priority="5" operator="containsText" text="CDM6042">
      <formula>NOT(ISERROR(SEARCH("CDM6042",A3)))</formula>
    </cfRule>
  </conditionalFormatting>
  <pageMargins left="0.75" right="0.75" top="0.75" bottom="0.75" header="0.17" footer="0.17"/>
  <pageSetup paperSize="9" scale="17" fitToHeight="0" orientation="landscape" r:id="rId1"/>
  <headerFooter alignWithMargins="0"/>
  <rowBreaks count="1" manualBreakCount="1">
    <brk id="306" min="2" max="15" man="1"/>
  </rowBreaks>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5"/>
  <dimension ref="A3:AL3218"/>
  <sheetViews>
    <sheetView zoomScale="70" workbookViewId="0">
      <pane xSplit="4" ySplit="4" topLeftCell="AI20" activePane="bottomRight" state="frozen"/>
      <selection activeCell="A4" sqref="A4:AN392"/>
      <selection pane="topRight" activeCell="A4" sqref="A4:AN392"/>
      <selection pane="bottomLeft" activeCell="A4" sqref="A4:AN392"/>
      <selection pane="bottomRight" activeCell="AJ4" sqref="AJ4:AJ45"/>
    </sheetView>
  </sheetViews>
  <sheetFormatPr defaultRowHeight="12.75"/>
  <cols>
    <col min="1" max="1" width="13" customWidth="1"/>
    <col min="2" max="2" width="11.85546875" customWidth="1"/>
    <col min="3" max="3" width="79.28515625" style="345" customWidth="1"/>
    <col min="4" max="4" width="13.28515625" customWidth="1"/>
    <col min="5" max="5" width="26.7109375" customWidth="1"/>
    <col min="6" max="6" width="6.140625" customWidth="1"/>
    <col min="7" max="7" width="24.85546875" style="50" customWidth="1"/>
    <col min="8" max="8" width="13.85546875" customWidth="1"/>
    <col min="9" max="9" width="17.5703125" customWidth="1"/>
    <col min="10" max="10" width="19.5703125" customWidth="1"/>
    <col min="11" max="11" width="19.140625" style="40" customWidth="1"/>
    <col min="12" max="12" width="11.5703125" bestFit="1" customWidth="1"/>
    <col min="14" max="14" width="5.28515625" customWidth="1"/>
    <col min="15" max="15" width="10.28515625" bestFit="1" customWidth="1"/>
    <col min="18" max="18" width="13.140625" customWidth="1"/>
    <col min="20" max="20" width="10.140625" bestFit="1" customWidth="1"/>
    <col min="21" max="21" width="10.7109375" bestFit="1" customWidth="1"/>
    <col min="24" max="24" width="13.85546875" customWidth="1"/>
    <col min="25" max="25" width="22" customWidth="1"/>
    <col min="26" max="26" width="37" style="345" customWidth="1"/>
    <col min="27" max="27" width="14.42578125" customWidth="1"/>
    <col min="28" max="28" width="10" customWidth="1"/>
    <col min="29" max="30" width="10.7109375" customWidth="1"/>
    <col min="31" max="31" width="10.42578125" customWidth="1"/>
    <col min="35" max="35" width="11.5703125" customWidth="1"/>
  </cols>
  <sheetData>
    <row r="3" spans="1:37">
      <c r="S3" s="1112" t="s">
        <v>96</v>
      </c>
      <c r="T3" s="1113"/>
      <c r="U3" s="1113"/>
      <c r="V3" s="1113"/>
      <c r="W3" s="1113"/>
      <c r="X3" s="1113"/>
      <c r="Y3" s="1114"/>
    </row>
    <row r="4" spans="1:37" s="350" customFormat="1" ht="55.5" customHeight="1">
      <c r="A4" s="35" t="s">
        <v>1067</v>
      </c>
      <c r="B4" s="336" t="s">
        <v>424</v>
      </c>
      <c r="C4" s="321" t="s">
        <v>690</v>
      </c>
      <c r="D4" s="35" t="s">
        <v>1336</v>
      </c>
      <c r="E4" s="321" t="s">
        <v>103</v>
      </c>
      <c r="F4" s="321" t="s">
        <v>857</v>
      </c>
      <c r="G4" s="321" t="s">
        <v>104</v>
      </c>
      <c r="H4" s="336" t="s">
        <v>1062</v>
      </c>
      <c r="I4" s="321" t="s">
        <v>848</v>
      </c>
      <c r="J4" s="320" t="s">
        <v>1068</v>
      </c>
      <c r="K4" s="321" t="s">
        <v>105</v>
      </c>
      <c r="L4" s="346" t="s">
        <v>106</v>
      </c>
      <c r="M4" s="321" t="s">
        <v>107</v>
      </c>
      <c r="N4" s="347" t="s">
        <v>1468</v>
      </c>
      <c r="O4" s="348" t="s">
        <v>108</v>
      </c>
      <c r="P4" s="336" t="s">
        <v>1060</v>
      </c>
      <c r="Q4" s="336" t="s">
        <v>109</v>
      </c>
      <c r="R4" s="48" t="s">
        <v>1713</v>
      </c>
      <c r="S4" s="65" t="s">
        <v>319</v>
      </c>
      <c r="T4" s="195" t="s">
        <v>156</v>
      </c>
      <c r="U4" s="65" t="s">
        <v>697</v>
      </c>
      <c r="V4" s="195" t="s">
        <v>110</v>
      </c>
      <c r="W4" s="195" t="s">
        <v>1077</v>
      </c>
      <c r="X4" s="48" t="s">
        <v>1073</v>
      </c>
      <c r="Y4" s="321" t="s">
        <v>854</v>
      </c>
      <c r="Z4" s="336" t="s">
        <v>111</v>
      </c>
      <c r="AA4" s="195" t="s">
        <v>1533</v>
      </c>
      <c r="AB4" s="319" t="s">
        <v>157</v>
      </c>
      <c r="AC4" s="320" t="s">
        <v>870</v>
      </c>
      <c r="AD4" s="320" t="s">
        <v>1335</v>
      </c>
      <c r="AE4" s="320" t="s">
        <v>114</v>
      </c>
      <c r="AF4" s="320" t="s">
        <v>161</v>
      </c>
      <c r="AG4" s="349" t="s">
        <v>841</v>
      </c>
      <c r="AH4" s="322" t="s">
        <v>159</v>
      </c>
      <c r="AI4" s="322" t="s">
        <v>112</v>
      </c>
      <c r="AJ4" s="320" t="s">
        <v>113</v>
      </c>
    </row>
    <row r="5" spans="1:37" s="50" customFormat="1" ht="24.75" customHeight="1">
      <c r="A5" s="52" t="s">
        <v>959</v>
      </c>
      <c r="B5" s="59" t="s">
        <v>540</v>
      </c>
      <c r="C5" s="391" t="s">
        <v>954</v>
      </c>
      <c r="D5" s="391" t="s">
        <v>558</v>
      </c>
      <c r="E5" s="392" t="s">
        <v>94</v>
      </c>
      <c r="F5" s="391">
        <v>1</v>
      </c>
      <c r="G5" s="392" t="s">
        <v>115</v>
      </c>
      <c r="H5" s="404" t="s">
        <v>968</v>
      </c>
      <c r="I5" s="393" t="s">
        <v>911</v>
      </c>
      <c r="J5" s="391" t="s">
        <v>955</v>
      </c>
      <c r="K5" s="404"/>
      <c r="L5" s="395"/>
      <c r="M5" s="391"/>
      <c r="N5" s="396"/>
      <c r="O5" s="397">
        <v>39448</v>
      </c>
      <c r="P5" s="399"/>
      <c r="Q5" s="391"/>
      <c r="R5" s="391" t="s">
        <v>1732</v>
      </c>
      <c r="S5" s="555">
        <f>0.066+5.597+11.4+17.432+25.87</f>
        <v>60.365000000000009</v>
      </c>
      <c r="T5" s="397">
        <v>39970</v>
      </c>
      <c r="U5" s="397">
        <v>41274</v>
      </c>
      <c r="V5" s="391"/>
      <c r="W5" s="392"/>
      <c r="X5" s="391" t="s">
        <v>3308</v>
      </c>
      <c r="Y5" s="402" t="s">
        <v>95</v>
      </c>
      <c r="Z5" s="391" t="s">
        <v>408</v>
      </c>
      <c r="AA5" s="401">
        <v>39681</v>
      </c>
      <c r="AB5" s="391"/>
      <c r="AC5" s="401">
        <v>39681</v>
      </c>
      <c r="AD5" s="401"/>
      <c r="AE5" s="354">
        <v>39471</v>
      </c>
      <c r="AF5" s="391"/>
      <c r="AG5" s="390"/>
      <c r="AH5" s="391"/>
      <c r="AI5" s="391"/>
      <c r="AJ5" s="391"/>
    </row>
    <row r="6" spans="1:37" s="50" customFormat="1" ht="24.75" customHeight="1">
      <c r="A6" s="52" t="s">
        <v>928</v>
      </c>
      <c r="B6" s="59" t="s">
        <v>540</v>
      </c>
      <c r="C6" s="391" t="s">
        <v>2093</v>
      </c>
      <c r="D6" s="391" t="s">
        <v>558</v>
      </c>
      <c r="E6" s="392" t="s">
        <v>94</v>
      </c>
      <c r="F6" s="391">
        <v>1</v>
      </c>
      <c r="G6" s="392" t="s">
        <v>115</v>
      </c>
      <c r="H6" s="404" t="s">
        <v>968</v>
      </c>
      <c r="I6" s="393" t="s">
        <v>911</v>
      </c>
      <c r="J6" s="391" t="s">
        <v>955</v>
      </c>
      <c r="K6" s="404"/>
      <c r="L6" s="395">
        <v>48.889000000000003</v>
      </c>
      <c r="M6" s="391"/>
      <c r="N6" s="396">
        <v>2</v>
      </c>
      <c r="O6" s="397">
        <v>39448</v>
      </c>
      <c r="P6" s="399">
        <f>L6*5</f>
        <v>244.44500000000002</v>
      </c>
      <c r="Q6" s="391"/>
      <c r="R6" s="391" t="s">
        <v>1732</v>
      </c>
      <c r="S6" s="555"/>
      <c r="T6" s="397"/>
      <c r="U6" s="397"/>
      <c r="V6" s="391"/>
      <c r="W6" s="392"/>
      <c r="X6" s="391"/>
      <c r="Y6" s="402" t="s">
        <v>95</v>
      </c>
      <c r="Z6" s="391" t="s">
        <v>408</v>
      </c>
      <c r="AA6" s="401">
        <v>39681</v>
      </c>
      <c r="AB6" s="391"/>
      <c r="AC6" s="401">
        <v>39681</v>
      </c>
      <c r="AD6" s="401"/>
      <c r="AE6" s="354">
        <v>39471</v>
      </c>
      <c r="AF6" s="391"/>
      <c r="AG6" s="390"/>
      <c r="AH6" s="391"/>
      <c r="AI6" s="391"/>
      <c r="AJ6" s="391"/>
    </row>
    <row r="7" spans="1:37" s="50" customFormat="1" ht="24.75" customHeight="1">
      <c r="A7" s="52" t="s">
        <v>960</v>
      </c>
      <c r="B7" s="59" t="s">
        <v>541</v>
      </c>
      <c r="C7" s="405" t="s">
        <v>150</v>
      </c>
      <c r="D7" s="391" t="s">
        <v>558</v>
      </c>
      <c r="E7" s="392" t="s">
        <v>94</v>
      </c>
      <c r="F7" s="391">
        <v>1</v>
      </c>
      <c r="G7" s="392" t="s">
        <v>152</v>
      </c>
      <c r="H7" s="404" t="s">
        <v>968</v>
      </c>
      <c r="I7" s="393" t="s">
        <v>966</v>
      </c>
      <c r="J7" s="391" t="s">
        <v>151</v>
      </c>
      <c r="K7" s="404"/>
      <c r="L7" s="395"/>
      <c r="M7" s="391"/>
      <c r="N7" s="396"/>
      <c r="O7" s="397">
        <v>39448</v>
      </c>
      <c r="P7" s="399"/>
      <c r="Q7" s="391"/>
      <c r="R7" s="391" t="s">
        <v>1732</v>
      </c>
      <c r="S7" s="391"/>
      <c r="T7" s="397"/>
      <c r="U7" s="397"/>
      <c r="V7" s="391"/>
      <c r="W7" s="392"/>
      <c r="X7" s="391"/>
      <c r="Y7" s="402" t="s">
        <v>953</v>
      </c>
      <c r="Z7" s="391" t="s">
        <v>408</v>
      </c>
      <c r="AA7" s="402">
        <v>39687</v>
      </c>
      <c r="AB7" s="402"/>
      <c r="AC7" s="402">
        <v>39601</v>
      </c>
      <c r="AD7" s="401"/>
      <c r="AE7" s="402">
        <v>39601</v>
      </c>
      <c r="AF7" s="391"/>
      <c r="AG7" s="390"/>
      <c r="AH7" s="391"/>
      <c r="AI7" s="391"/>
      <c r="AJ7" s="391"/>
    </row>
    <row r="8" spans="1:37" s="50" customFormat="1" ht="24.75" customHeight="1">
      <c r="A8" s="52" t="s">
        <v>952</v>
      </c>
      <c r="B8" s="59" t="s">
        <v>541</v>
      </c>
      <c r="C8" s="405" t="s">
        <v>150</v>
      </c>
      <c r="D8" s="391" t="s">
        <v>558</v>
      </c>
      <c r="E8" s="392" t="s">
        <v>94</v>
      </c>
      <c r="F8" s="391">
        <v>1</v>
      </c>
      <c r="G8" s="392" t="s">
        <v>152</v>
      </c>
      <c r="H8" s="404" t="s">
        <v>968</v>
      </c>
      <c r="I8" s="393" t="s">
        <v>966</v>
      </c>
      <c r="J8" s="391" t="s">
        <v>151</v>
      </c>
      <c r="K8" s="404"/>
      <c r="L8" s="395">
        <f>P8/5</f>
        <v>22.4358</v>
      </c>
      <c r="M8" s="391"/>
      <c r="N8" s="396">
        <v>7</v>
      </c>
      <c r="O8" s="397">
        <v>39448</v>
      </c>
      <c r="P8" s="399">
        <v>112.179</v>
      </c>
      <c r="Q8" s="391"/>
      <c r="R8" s="391" t="s">
        <v>1732</v>
      </c>
      <c r="S8" s="391"/>
      <c r="T8" s="397"/>
      <c r="U8" s="397"/>
      <c r="V8" s="391"/>
      <c r="W8" s="392"/>
      <c r="X8" s="391"/>
      <c r="Y8" s="402" t="s">
        <v>953</v>
      </c>
      <c r="Z8" s="391" t="s">
        <v>408</v>
      </c>
      <c r="AA8" s="402">
        <v>39687</v>
      </c>
      <c r="AB8" s="402"/>
      <c r="AC8" s="402">
        <v>39601</v>
      </c>
      <c r="AD8" s="401"/>
      <c r="AE8" s="402">
        <v>39601</v>
      </c>
      <c r="AF8" s="391"/>
      <c r="AG8" s="390"/>
      <c r="AH8" s="391"/>
      <c r="AI8" s="391"/>
      <c r="AJ8" s="391"/>
    </row>
    <row r="9" spans="1:37" s="50" customFormat="1" ht="24.75" customHeight="1">
      <c r="A9" s="52" t="s">
        <v>153</v>
      </c>
      <c r="B9" s="59" t="s">
        <v>922</v>
      </c>
      <c r="C9" s="405" t="s">
        <v>924</v>
      </c>
      <c r="D9" s="391" t="s">
        <v>558</v>
      </c>
      <c r="E9" s="392" t="s">
        <v>927</v>
      </c>
      <c r="F9" s="391">
        <v>1</v>
      </c>
      <c r="G9" s="392" t="s">
        <v>926</v>
      </c>
      <c r="H9" s="404" t="s">
        <v>968</v>
      </c>
      <c r="I9" s="393" t="s">
        <v>966</v>
      </c>
      <c r="J9" s="391" t="s">
        <v>151</v>
      </c>
      <c r="K9" s="404" t="s">
        <v>925</v>
      </c>
      <c r="L9" s="395"/>
      <c r="M9" s="391"/>
      <c r="N9" s="396"/>
      <c r="O9" s="397">
        <v>39448</v>
      </c>
      <c r="P9" s="399"/>
      <c r="Q9" s="391"/>
      <c r="R9" s="391" t="s">
        <v>1732</v>
      </c>
      <c r="S9" s="391">
        <f>0.596+2.664</f>
        <v>3.2600000000000002</v>
      </c>
      <c r="T9" s="397">
        <v>40401</v>
      </c>
      <c r="U9" s="397">
        <v>40178</v>
      </c>
      <c r="V9" s="391"/>
      <c r="W9" s="392"/>
      <c r="X9" s="419" t="s">
        <v>1732</v>
      </c>
      <c r="Y9" s="402" t="s">
        <v>1397</v>
      </c>
      <c r="Z9" s="391" t="s">
        <v>408</v>
      </c>
      <c r="AA9" s="402">
        <v>39794</v>
      </c>
      <c r="AB9" s="402"/>
      <c r="AC9" s="402"/>
      <c r="AD9" s="401"/>
      <c r="AE9" s="402">
        <v>39735</v>
      </c>
      <c r="AF9" s="391"/>
      <c r="AG9" s="390"/>
      <c r="AH9" s="391"/>
      <c r="AI9" s="391"/>
      <c r="AJ9" s="391"/>
    </row>
    <row r="10" spans="1:37" s="50" customFormat="1" ht="24.75" customHeight="1">
      <c r="A10" s="52" t="s">
        <v>929</v>
      </c>
      <c r="B10" s="59" t="s">
        <v>922</v>
      </c>
      <c r="C10" s="405" t="s">
        <v>950</v>
      </c>
      <c r="D10" s="391" t="s">
        <v>558</v>
      </c>
      <c r="E10" s="392" t="s">
        <v>927</v>
      </c>
      <c r="F10" s="391">
        <v>1</v>
      </c>
      <c r="G10" s="392" t="s">
        <v>926</v>
      </c>
      <c r="H10" s="404" t="s">
        <v>968</v>
      </c>
      <c r="I10" s="393" t="s">
        <v>966</v>
      </c>
      <c r="J10" s="391" t="s">
        <v>151</v>
      </c>
      <c r="K10" s="404" t="s">
        <v>925</v>
      </c>
      <c r="L10" s="358">
        <v>0.11600000000000001</v>
      </c>
      <c r="M10" s="391"/>
      <c r="N10" s="396">
        <v>0</v>
      </c>
      <c r="O10" s="397">
        <v>39448</v>
      </c>
      <c r="P10" s="359">
        <f>L10*5</f>
        <v>0.58000000000000007</v>
      </c>
      <c r="Q10" s="391"/>
      <c r="R10" s="391" t="s">
        <v>1732</v>
      </c>
      <c r="S10" s="391"/>
      <c r="T10" s="397"/>
      <c r="U10" s="397"/>
      <c r="V10" s="391"/>
      <c r="W10" s="392"/>
      <c r="X10" s="391"/>
      <c r="Y10" s="402" t="s">
        <v>1397</v>
      </c>
      <c r="Z10" s="391" t="s">
        <v>408</v>
      </c>
      <c r="AA10" s="402">
        <v>39794</v>
      </c>
      <c r="AB10" s="402"/>
      <c r="AC10" s="402"/>
      <c r="AD10" s="401"/>
      <c r="AE10" s="402">
        <v>39735</v>
      </c>
      <c r="AF10" s="391"/>
      <c r="AG10" s="390"/>
      <c r="AH10" s="391"/>
      <c r="AI10" s="391"/>
      <c r="AJ10" s="391"/>
    </row>
    <row r="11" spans="1:37" s="50" customFormat="1" ht="24.75" customHeight="1">
      <c r="A11" s="52" t="s">
        <v>930</v>
      </c>
      <c r="B11" s="59" t="s">
        <v>922</v>
      </c>
      <c r="C11" s="405" t="s">
        <v>951</v>
      </c>
      <c r="D11" s="49" t="s">
        <v>558</v>
      </c>
      <c r="E11" s="284" t="s">
        <v>927</v>
      </c>
      <c r="F11" s="49">
        <v>1</v>
      </c>
      <c r="G11" s="284" t="s">
        <v>926</v>
      </c>
      <c r="H11" s="341" t="s">
        <v>968</v>
      </c>
      <c r="I11" s="285" t="s">
        <v>966</v>
      </c>
      <c r="J11" s="391" t="s">
        <v>151</v>
      </c>
      <c r="K11" s="404" t="s">
        <v>925</v>
      </c>
      <c r="L11" s="390">
        <v>0.76200000000000001</v>
      </c>
      <c r="M11" s="49"/>
      <c r="N11" s="334">
        <v>0</v>
      </c>
      <c r="O11" s="286">
        <v>39448</v>
      </c>
      <c r="P11" s="396">
        <f>L11*5</f>
        <v>3.81</v>
      </c>
      <c r="Q11" s="49"/>
      <c r="R11" s="49" t="s">
        <v>1732</v>
      </c>
      <c r="S11" s="391"/>
      <c r="T11" s="397"/>
      <c r="U11" s="397"/>
      <c r="V11" s="49"/>
      <c r="W11" s="284"/>
      <c r="X11" s="49"/>
      <c r="Y11" s="339" t="s">
        <v>1397</v>
      </c>
      <c r="Z11" s="49" t="s">
        <v>408</v>
      </c>
      <c r="AA11" s="402">
        <v>39794</v>
      </c>
      <c r="AB11" s="402"/>
      <c r="AC11" s="402"/>
      <c r="AD11" s="288"/>
      <c r="AE11" s="402">
        <v>39735</v>
      </c>
      <c r="AF11" s="49"/>
      <c r="AG11" s="340"/>
      <c r="AH11" s="49"/>
      <c r="AI11" s="49"/>
      <c r="AJ11" s="391"/>
    </row>
    <row r="12" spans="1:37" s="50" customFormat="1" ht="24.75" customHeight="1">
      <c r="A12" s="52" t="s">
        <v>10</v>
      </c>
      <c r="B12" s="59" t="s">
        <v>1571</v>
      </c>
      <c r="C12" s="405" t="s">
        <v>12</v>
      </c>
      <c r="D12" s="49" t="s">
        <v>558</v>
      </c>
      <c r="E12" s="392" t="s">
        <v>558</v>
      </c>
      <c r="F12" s="391">
        <v>1</v>
      </c>
      <c r="G12" s="284" t="s">
        <v>15</v>
      </c>
      <c r="H12" s="341" t="s">
        <v>968</v>
      </c>
      <c r="I12" s="285" t="s">
        <v>13</v>
      </c>
      <c r="J12" s="391" t="s">
        <v>1084</v>
      </c>
      <c r="K12" s="404" t="s">
        <v>14</v>
      </c>
      <c r="L12" s="390"/>
      <c r="M12" s="49"/>
      <c r="N12" s="334"/>
      <c r="O12" s="286">
        <v>39639</v>
      </c>
      <c r="P12" s="396"/>
      <c r="Q12" s="49"/>
      <c r="R12" s="49" t="s">
        <v>1732</v>
      </c>
      <c r="S12" s="391"/>
      <c r="T12" s="397"/>
      <c r="U12" s="397"/>
      <c r="V12" s="49"/>
      <c r="W12" s="284"/>
      <c r="X12" s="49"/>
      <c r="Y12" s="339" t="s">
        <v>1084</v>
      </c>
      <c r="Z12" s="49" t="s">
        <v>408</v>
      </c>
      <c r="AA12" s="402">
        <v>39918</v>
      </c>
      <c r="AB12" s="402"/>
      <c r="AC12" s="402">
        <v>39871</v>
      </c>
      <c r="AD12" s="288"/>
      <c r="AE12" s="402">
        <v>39919</v>
      </c>
      <c r="AF12" s="49"/>
      <c r="AG12" s="340"/>
      <c r="AH12" s="49"/>
      <c r="AI12" s="49"/>
      <c r="AJ12" s="391"/>
    </row>
    <row r="13" spans="1:37" s="50" customFormat="1" ht="24.75" customHeight="1">
      <c r="A13" s="52" t="s">
        <v>11</v>
      </c>
      <c r="B13" s="59" t="s">
        <v>1571</v>
      </c>
      <c r="C13" s="343" t="s">
        <v>16</v>
      </c>
      <c r="D13" s="49" t="s">
        <v>558</v>
      </c>
      <c r="E13" s="392" t="s">
        <v>1084</v>
      </c>
      <c r="F13" s="49">
        <v>1</v>
      </c>
      <c r="G13" s="284" t="s">
        <v>15</v>
      </c>
      <c r="H13" s="341" t="s">
        <v>968</v>
      </c>
      <c r="I13" s="285" t="s">
        <v>13</v>
      </c>
      <c r="J13" s="391" t="s">
        <v>1084</v>
      </c>
      <c r="K13" s="404" t="s">
        <v>14</v>
      </c>
      <c r="L13" s="337">
        <v>55.281999999999996</v>
      </c>
      <c r="M13" s="49"/>
      <c r="N13" s="334">
        <v>24</v>
      </c>
      <c r="O13" s="286">
        <v>39639</v>
      </c>
      <c r="P13" s="355">
        <v>221.12700000000001</v>
      </c>
      <c r="Q13" s="49"/>
      <c r="R13" s="49" t="s">
        <v>1732</v>
      </c>
      <c r="S13" s="49"/>
      <c r="T13" s="397"/>
      <c r="U13" s="397"/>
      <c r="V13" s="49"/>
      <c r="W13" s="284"/>
      <c r="X13" s="49"/>
      <c r="Y13" s="339" t="s">
        <v>1084</v>
      </c>
      <c r="Z13" s="391" t="s">
        <v>408</v>
      </c>
      <c r="AA13" s="402">
        <v>39918</v>
      </c>
      <c r="AB13" s="339"/>
      <c r="AC13" s="339">
        <v>39871</v>
      </c>
      <c r="AD13" s="288"/>
      <c r="AE13" s="339">
        <v>39919</v>
      </c>
      <c r="AF13" s="49"/>
      <c r="AG13" s="340"/>
      <c r="AH13" s="49"/>
      <c r="AI13" s="49"/>
      <c r="AJ13" s="391"/>
    </row>
    <row r="14" spans="1:37" s="50" customFormat="1" ht="24.75" customHeight="1">
      <c r="A14" s="52" t="s">
        <v>1007</v>
      </c>
      <c r="B14" s="59" t="s">
        <v>1006</v>
      </c>
      <c r="C14" s="343" t="s">
        <v>1009</v>
      </c>
      <c r="D14" s="49" t="s">
        <v>558</v>
      </c>
      <c r="E14" s="392" t="s">
        <v>1010</v>
      </c>
      <c r="F14" s="49">
        <v>1</v>
      </c>
      <c r="G14" s="392" t="s">
        <v>1013</v>
      </c>
      <c r="H14" s="341" t="s">
        <v>968</v>
      </c>
      <c r="I14" s="393" t="s">
        <v>966</v>
      </c>
      <c r="J14" s="49" t="s">
        <v>1014</v>
      </c>
      <c r="K14" s="404" t="s">
        <v>1011</v>
      </c>
      <c r="L14" s="390"/>
      <c r="M14" s="49"/>
      <c r="N14" s="334"/>
      <c r="O14" s="286">
        <v>39708</v>
      </c>
      <c r="P14" s="396"/>
      <c r="Q14" s="49"/>
      <c r="R14" s="49" t="s">
        <v>1732</v>
      </c>
      <c r="S14" s="49"/>
      <c r="T14" s="397"/>
      <c r="U14" s="397"/>
      <c r="V14" s="49"/>
      <c r="W14" s="392"/>
      <c r="X14" s="391"/>
      <c r="Y14" s="402" t="s">
        <v>1084</v>
      </c>
      <c r="Z14" s="49" t="s">
        <v>408</v>
      </c>
      <c r="AA14" s="402">
        <v>40115</v>
      </c>
      <c r="AB14" s="402"/>
      <c r="AC14" s="402">
        <v>39737</v>
      </c>
      <c r="AD14" s="401"/>
      <c r="AE14" s="339">
        <v>40116</v>
      </c>
      <c r="AF14" s="49"/>
      <c r="AG14" s="390"/>
      <c r="AH14" s="49"/>
      <c r="AI14" s="391"/>
      <c r="AJ14" s="391"/>
    </row>
    <row r="15" spans="1:37" s="50" customFormat="1" ht="24.75" customHeight="1">
      <c r="A15" s="52" t="s">
        <v>1008</v>
      </c>
      <c r="B15" s="59" t="s">
        <v>1006</v>
      </c>
      <c r="C15" s="343" t="s">
        <v>1012</v>
      </c>
      <c r="D15" s="49" t="s">
        <v>558</v>
      </c>
      <c r="E15" s="392" t="s">
        <v>1010</v>
      </c>
      <c r="F15" s="49">
        <v>1</v>
      </c>
      <c r="G15" s="392" t="s">
        <v>1013</v>
      </c>
      <c r="H15" s="341" t="s">
        <v>968</v>
      </c>
      <c r="I15" s="393" t="s">
        <v>966</v>
      </c>
      <c r="J15" s="49" t="s">
        <v>1014</v>
      </c>
      <c r="K15" s="404" t="s">
        <v>1011</v>
      </c>
      <c r="L15" s="358">
        <v>21</v>
      </c>
      <c r="M15" s="49"/>
      <c r="N15" s="334">
        <v>0</v>
      </c>
      <c r="O15" s="286">
        <v>39708</v>
      </c>
      <c r="P15" s="396">
        <v>84</v>
      </c>
      <c r="Q15" s="49"/>
      <c r="R15" s="49" t="s">
        <v>1732</v>
      </c>
      <c r="S15" s="49"/>
      <c r="T15" s="397"/>
      <c r="U15" s="397"/>
      <c r="V15" s="49"/>
      <c r="W15" s="284"/>
      <c r="X15" s="391"/>
      <c r="Y15" s="402" t="s">
        <v>1084</v>
      </c>
      <c r="Z15" s="391" t="s">
        <v>408</v>
      </c>
      <c r="AA15" s="402">
        <v>40115</v>
      </c>
      <c r="AB15" s="339"/>
      <c r="AC15" s="339">
        <v>39737</v>
      </c>
      <c r="AD15" s="288"/>
      <c r="AE15" s="339">
        <v>40116</v>
      </c>
      <c r="AF15" s="49"/>
      <c r="AG15" s="340"/>
      <c r="AH15" s="49"/>
      <c r="AI15" s="49"/>
      <c r="AJ15" s="391"/>
    </row>
    <row r="16" spans="1:37" s="57" customFormat="1" ht="24.75" customHeight="1">
      <c r="A16" s="52" t="s">
        <v>790</v>
      </c>
      <c r="B16" s="246" t="s">
        <v>792</v>
      </c>
      <c r="C16" s="391" t="s">
        <v>1460</v>
      </c>
      <c r="D16" s="49" t="s">
        <v>558</v>
      </c>
      <c r="E16" s="284" t="s">
        <v>1627</v>
      </c>
      <c r="F16" s="392">
        <v>1</v>
      </c>
      <c r="G16" s="375" t="s">
        <v>818</v>
      </c>
      <c r="H16" s="341" t="s">
        <v>968</v>
      </c>
      <c r="I16" s="393" t="s">
        <v>719</v>
      </c>
      <c r="J16" s="375" t="s">
        <v>819</v>
      </c>
      <c r="K16" s="393" t="s">
        <v>14</v>
      </c>
      <c r="L16" s="396"/>
      <c r="M16" s="397"/>
      <c r="N16" s="414"/>
      <c r="O16" s="286">
        <v>39814</v>
      </c>
      <c r="P16" s="398"/>
      <c r="Q16" s="49"/>
      <c r="R16" s="49" t="s">
        <v>1696</v>
      </c>
      <c r="S16" s="399"/>
      <c r="T16" s="397"/>
      <c r="U16" s="397"/>
      <c r="V16" s="287"/>
      <c r="W16" s="391"/>
      <c r="X16" s="405"/>
      <c r="Y16" s="402" t="s">
        <v>1084</v>
      </c>
      <c r="Z16" s="49" t="s">
        <v>408</v>
      </c>
      <c r="AA16" s="418">
        <v>40199</v>
      </c>
      <c r="AB16" s="339"/>
      <c r="AC16" s="401">
        <v>40193</v>
      </c>
      <c r="AD16" s="288"/>
      <c r="AE16" s="401">
        <v>40024</v>
      </c>
      <c r="AF16" s="390"/>
      <c r="AG16" s="395"/>
      <c r="AH16" s="413"/>
      <c r="AI16" s="390"/>
      <c r="AJ16" s="396"/>
      <c r="AK16" s="63"/>
    </row>
    <row r="17" spans="1:38" s="50" customFormat="1" ht="24.75" customHeight="1">
      <c r="A17" s="52" t="s">
        <v>791</v>
      </c>
      <c r="B17" s="246" t="s">
        <v>792</v>
      </c>
      <c r="C17" s="343" t="s">
        <v>820</v>
      </c>
      <c r="D17" s="49" t="s">
        <v>558</v>
      </c>
      <c r="E17" s="284" t="s">
        <v>1084</v>
      </c>
      <c r="F17" s="49">
        <v>1</v>
      </c>
      <c r="G17" s="375" t="s">
        <v>818</v>
      </c>
      <c r="H17" s="341" t="s">
        <v>968</v>
      </c>
      <c r="I17" s="393" t="s">
        <v>719</v>
      </c>
      <c r="J17" s="375" t="s">
        <v>819</v>
      </c>
      <c r="K17" s="393" t="s">
        <v>14</v>
      </c>
      <c r="L17" s="340">
        <f>P17/4</f>
        <v>17.226500000000001</v>
      </c>
      <c r="M17" s="396"/>
      <c r="N17" s="334">
        <v>0</v>
      </c>
      <c r="O17" s="397">
        <v>39814</v>
      </c>
      <c r="P17" s="334">
        <v>68.906000000000006</v>
      </c>
      <c r="Q17" s="49"/>
      <c r="R17" s="49" t="s">
        <v>1696</v>
      </c>
      <c r="S17" s="399"/>
      <c r="T17" s="397"/>
      <c r="U17" s="397"/>
      <c r="V17" s="49"/>
      <c r="W17" s="284"/>
      <c r="X17" s="49"/>
      <c r="Y17" s="402" t="s">
        <v>1084</v>
      </c>
      <c r="Z17" s="391" t="s">
        <v>408</v>
      </c>
      <c r="AA17" s="418">
        <v>40199</v>
      </c>
      <c r="AB17" s="339"/>
      <c r="AC17" s="401">
        <v>40193</v>
      </c>
      <c r="AD17" s="288"/>
      <c r="AE17" s="401">
        <v>40024</v>
      </c>
      <c r="AF17" s="49"/>
      <c r="AG17" s="340"/>
      <c r="AH17" s="49"/>
      <c r="AI17" s="49"/>
      <c r="AJ17" s="391"/>
    </row>
    <row r="18" spans="1:38" s="50" customFormat="1" ht="24.75" customHeight="1">
      <c r="A18" s="451" t="s">
        <v>1826</v>
      </c>
      <c r="B18" s="446" t="s">
        <v>1803</v>
      </c>
      <c r="C18" s="452" t="s">
        <v>1809</v>
      </c>
      <c r="D18" s="391" t="s">
        <v>558</v>
      </c>
      <c r="E18" s="391" t="s">
        <v>558</v>
      </c>
      <c r="F18" s="392">
        <v>1</v>
      </c>
      <c r="G18" s="453" t="s">
        <v>1828</v>
      </c>
      <c r="H18" s="404" t="s">
        <v>968</v>
      </c>
      <c r="I18" s="454" t="s">
        <v>13</v>
      </c>
      <c r="J18" s="453" t="s">
        <v>687</v>
      </c>
      <c r="K18" s="393" t="s">
        <v>14</v>
      </c>
      <c r="L18" s="390"/>
      <c r="M18" s="396"/>
      <c r="N18" s="396"/>
      <c r="O18" s="397">
        <v>40026</v>
      </c>
      <c r="P18" s="396"/>
      <c r="Q18" s="391"/>
      <c r="R18" s="391" t="s">
        <v>1732</v>
      </c>
      <c r="S18" s="396">
        <v>4.9569999999999999</v>
      </c>
      <c r="T18" s="397">
        <v>40653</v>
      </c>
      <c r="U18" s="397">
        <v>40421</v>
      </c>
      <c r="V18" s="391"/>
      <c r="W18" s="392"/>
      <c r="X18" s="419" t="s">
        <v>1732</v>
      </c>
      <c r="Y18" s="556" t="s">
        <v>2526</v>
      </c>
      <c r="Z18" s="452" t="s">
        <v>408</v>
      </c>
      <c r="AA18" s="418">
        <v>40282</v>
      </c>
      <c r="AB18" s="402"/>
      <c r="AC18" s="401">
        <v>40266</v>
      </c>
      <c r="AD18" s="401"/>
      <c r="AE18" s="401">
        <v>40115</v>
      </c>
      <c r="AF18" s="391"/>
      <c r="AG18" s="390"/>
      <c r="AH18" s="391"/>
      <c r="AI18" s="391"/>
      <c r="AJ18" s="391"/>
    </row>
    <row r="19" spans="1:38" s="50" customFormat="1" ht="24.75" customHeight="1">
      <c r="A19" s="451" t="s">
        <v>1827</v>
      </c>
      <c r="B19" s="446" t="s">
        <v>1803</v>
      </c>
      <c r="C19" s="452" t="s">
        <v>1829</v>
      </c>
      <c r="D19" s="391" t="s">
        <v>558</v>
      </c>
      <c r="E19" s="391" t="s">
        <v>558</v>
      </c>
      <c r="F19" s="391">
        <v>1</v>
      </c>
      <c r="G19" s="453" t="s">
        <v>1828</v>
      </c>
      <c r="H19" s="404" t="s">
        <v>968</v>
      </c>
      <c r="I19" s="454" t="s">
        <v>13</v>
      </c>
      <c r="J19" s="453" t="s">
        <v>687</v>
      </c>
      <c r="K19" s="393" t="s">
        <v>14</v>
      </c>
      <c r="L19" s="390">
        <v>18.661000000000001</v>
      </c>
      <c r="M19" s="396"/>
      <c r="N19" s="396">
        <v>0</v>
      </c>
      <c r="O19" s="397">
        <v>40026</v>
      </c>
      <c r="P19" s="396">
        <v>74.646000000000001</v>
      </c>
      <c r="Q19" s="391"/>
      <c r="R19" s="391" t="s">
        <v>1732</v>
      </c>
      <c r="S19" s="399"/>
      <c r="T19" s="397"/>
      <c r="U19" s="397"/>
      <c r="V19" s="391"/>
      <c r="W19" s="392"/>
      <c r="X19" s="391"/>
      <c r="Y19" s="556" t="s">
        <v>2526</v>
      </c>
      <c r="Z19" s="392" t="s">
        <v>408</v>
      </c>
      <c r="AA19" s="418">
        <v>40282</v>
      </c>
      <c r="AB19" s="402"/>
      <c r="AC19" s="401">
        <v>40266</v>
      </c>
      <c r="AD19" s="401"/>
      <c r="AE19" s="401">
        <v>40115</v>
      </c>
      <c r="AF19" s="391"/>
      <c r="AG19" s="390"/>
      <c r="AH19" s="391"/>
      <c r="AI19" s="391"/>
      <c r="AJ19" s="391"/>
    </row>
    <row r="20" spans="1:38" s="489" customFormat="1" ht="25.5" customHeight="1">
      <c r="A20" s="451" t="s">
        <v>2086</v>
      </c>
      <c r="B20" s="467" t="s">
        <v>2039</v>
      </c>
      <c r="C20" s="445" t="s">
        <v>2040</v>
      </c>
      <c r="D20" s="445" t="s">
        <v>558</v>
      </c>
      <c r="E20" s="493" t="s">
        <v>2044</v>
      </c>
      <c r="F20" s="419">
        <v>1</v>
      </c>
      <c r="G20" s="507" t="s">
        <v>2103</v>
      </c>
      <c r="H20" s="404" t="s">
        <v>968</v>
      </c>
      <c r="I20" s="455" t="s">
        <v>719</v>
      </c>
      <c r="J20" s="445" t="s">
        <v>2085</v>
      </c>
      <c r="K20" s="526" t="s">
        <v>2102</v>
      </c>
      <c r="L20" s="423"/>
      <c r="M20" s="479"/>
      <c r="N20" s="425"/>
      <c r="O20" s="479">
        <v>39814</v>
      </c>
      <c r="P20" s="425"/>
      <c r="Q20" s="426"/>
      <c r="R20" s="391" t="s">
        <v>1732</v>
      </c>
      <c r="S20" s="425"/>
      <c r="T20" s="444"/>
      <c r="U20" s="444"/>
      <c r="V20" s="445"/>
      <c r="W20" s="477"/>
      <c r="X20" s="428"/>
      <c r="Y20" s="508" t="s">
        <v>1084</v>
      </c>
      <c r="Z20" s="391" t="s">
        <v>408</v>
      </c>
      <c r="AA20" s="496">
        <v>40443</v>
      </c>
      <c r="AB20" s="444"/>
      <c r="AC20" s="444">
        <v>40437</v>
      </c>
      <c r="AD20" s="423"/>
      <c r="AE20" s="401">
        <v>40409</v>
      </c>
      <c r="AF20" s="425"/>
      <c r="AG20" s="423"/>
      <c r="AH20" s="423"/>
      <c r="AI20" s="497"/>
      <c r="AJ20" s="423"/>
      <c r="AK20" s="487"/>
      <c r="AL20" s="474"/>
    </row>
    <row r="21" spans="1:38" s="50" customFormat="1" ht="24.75" customHeight="1">
      <c r="A21" s="451" t="s">
        <v>2087</v>
      </c>
      <c r="B21" s="467" t="s">
        <v>2039</v>
      </c>
      <c r="C21" s="445" t="s">
        <v>2104</v>
      </c>
      <c r="D21" s="391" t="s">
        <v>558</v>
      </c>
      <c r="E21" s="493" t="s">
        <v>2044</v>
      </c>
      <c r="F21" s="419">
        <v>1</v>
      </c>
      <c r="G21" s="507" t="s">
        <v>2103</v>
      </c>
      <c r="H21" s="404" t="s">
        <v>968</v>
      </c>
      <c r="I21" s="455" t="s">
        <v>719</v>
      </c>
      <c r="J21" s="445" t="s">
        <v>2085</v>
      </c>
      <c r="K21" s="526" t="s">
        <v>2102</v>
      </c>
      <c r="L21" s="509">
        <v>29.234999999999999</v>
      </c>
      <c r="M21" s="396"/>
      <c r="N21" s="396">
        <v>0</v>
      </c>
      <c r="O21" s="397">
        <v>39814</v>
      </c>
      <c r="P21" s="396">
        <v>116.94</v>
      </c>
      <c r="Q21" s="391"/>
      <c r="R21" s="391" t="s">
        <v>1732</v>
      </c>
      <c r="S21" s="399"/>
      <c r="T21" s="397"/>
      <c r="U21" s="397"/>
      <c r="V21" s="391"/>
      <c r="W21" s="392"/>
      <c r="X21" s="391"/>
      <c r="Y21" s="508" t="s">
        <v>1084</v>
      </c>
      <c r="Z21" s="392" t="s">
        <v>408</v>
      </c>
      <c r="AA21" s="496">
        <v>40443</v>
      </c>
      <c r="AB21" s="402"/>
      <c r="AC21" s="401">
        <v>40437</v>
      </c>
      <c r="AD21" s="401"/>
      <c r="AE21" s="401">
        <v>40409</v>
      </c>
      <c r="AF21" s="391"/>
      <c r="AG21" s="390"/>
      <c r="AH21" s="391"/>
      <c r="AI21" s="391"/>
      <c r="AJ21" s="391"/>
    </row>
    <row r="22" spans="1:38" s="50" customFormat="1" ht="24.75" customHeight="1">
      <c r="A22" s="451" t="s">
        <v>2088</v>
      </c>
      <c r="B22" s="502" t="s">
        <v>2077</v>
      </c>
      <c r="C22" s="445" t="s">
        <v>2078</v>
      </c>
      <c r="D22" s="445" t="s">
        <v>558</v>
      </c>
      <c r="E22" s="392" t="s">
        <v>558</v>
      </c>
      <c r="F22" s="419">
        <v>1</v>
      </c>
      <c r="G22" s="391" t="s">
        <v>2106</v>
      </c>
      <c r="H22" s="404" t="s">
        <v>968</v>
      </c>
      <c r="I22" s="455" t="s">
        <v>719</v>
      </c>
      <c r="J22" s="445" t="s">
        <v>2085</v>
      </c>
      <c r="K22" s="526" t="s">
        <v>2105</v>
      </c>
      <c r="L22" s="390"/>
      <c r="M22" s="396"/>
      <c r="N22" s="396"/>
      <c r="O22" s="397">
        <v>40360</v>
      </c>
      <c r="P22" s="396"/>
      <c r="Q22" s="391"/>
      <c r="R22" s="391" t="s">
        <v>1696</v>
      </c>
      <c r="S22" s="399"/>
      <c r="T22" s="397"/>
      <c r="U22" s="397"/>
      <c r="V22" s="391"/>
      <c r="W22" s="392"/>
      <c r="X22" s="391"/>
      <c r="Y22" s="508" t="s">
        <v>1084</v>
      </c>
      <c r="Z22" s="391" t="s">
        <v>408</v>
      </c>
      <c r="AA22" s="496">
        <v>40451</v>
      </c>
      <c r="AB22" s="402"/>
      <c r="AC22" s="401">
        <v>40449</v>
      </c>
      <c r="AD22" s="401"/>
      <c r="AE22" s="401">
        <v>40415</v>
      </c>
      <c r="AF22" s="391"/>
      <c r="AG22" s="390"/>
      <c r="AH22" s="391"/>
      <c r="AI22" s="391"/>
      <c r="AJ22" s="391"/>
    </row>
    <row r="23" spans="1:38" s="50" customFormat="1" ht="24.75" customHeight="1">
      <c r="A23" s="451" t="s">
        <v>2089</v>
      </c>
      <c r="B23" s="502" t="s">
        <v>2077</v>
      </c>
      <c r="C23" s="452" t="s">
        <v>2107</v>
      </c>
      <c r="D23" s="391" t="s">
        <v>558</v>
      </c>
      <c r="E23" s="392" t="s">
        <v>558</v>
      </c>
      <c r="F23" s="419">
        <v>1</v>
      </c>
      <c r="G23" s="391" t="s">
        <v>2106</v>
      </c>
      <c r="H23" s="404" t="s">
        <v>968</v>
      </c>
      <c r="I23" s="455" t="s">
        <v>719</v>
      </c>
      <c r="J23" s="445" t="s">
        <v>2085</v>
      </c>
      <c r="K23" s="526" t="s">
        <v>2105</v>
      </c>
      <c r="L23" s="390">
        <v>0.42799999999999999</v>
      </c>
      <c r="M23" s="396"/>
      <c r="N23" s="396">
        <v>0</v>
      </c>
      <c r="O23" s="397">
        <v>40360</v>
      </c>
      <c r="P23" s="396">
        <f>L23*2.5</f>
        <v>1.07</v>
      </c>
      <c r="Q23" s="391"/>
      <c r="R23" s="391" t="s">
        <v>1696</v>
      </c>
      <c r="S23" s="399"/>
      <c r="T23" s="397"/>
      <c r="U23" s="397"/>
      <c r="V23" s="391"/>
      <c r="W23" s="392"/>
      <c r="X23" s="391"/>
      <c r="Y23" s="508" t="s">
        <v>1084</v>
      </c>
      <c r="Z23" s="392" t="s">
        <v>408</v>
      </c>
      <c r="AA23" s="496">
        <v>40451</v>
      </c>
      <c r="AB23" s="402"/>
      <c r="AC23" s="401">
        <v>40449</v>
      </c>
      <c r="AD23" s="401"/>
      <c r="AE23" s="401">
        <v>40415</v>
      </c>
      <c r="AF23" s="391"/>
      <c r="AG23" s="390">
        <v>0</v>
      </c>
      <c r="AH23" s="391"/>
      <c r="AI23" s="391"/>
      <c r="AJ23" s="391"/>
    </row>
    <row r="24" spans="1:38" s="50" customFormat="1" ht="24.75" customHeight="1">
      <c r="A24" s="451" t="s">
        <v>2109</v>
      </c>
      <c r="B24" s="502" t="s">
        <v>2077</v>
      </c>
      <c r="C24" s="452" t="s">
        <v>2108</v>
      </c>
      <c r="D24" s="391" t="s">
        <v>558</v>
      </c>
      <c r="E24" s="392" t="s">
        <v>558</v>
      </c>
      <c r="F24" s="419">
        <v>1</v>
      </c>
      <c r="G24" s="391" t="s">
        <v>2106</v>
      </c>
      <c r="H24" s="404" t="s">
        <v>968</v>
      </c>
      <c r="I24" s="455" t="s">
        <v>719</v>
      </c>
      <c r="J24" s="445" t="s">
        <v>2085</v>
      </c>
      <c r="K24" s="526" t="s">
        <v>2105</v>
      </c>
      <c r="L24" s="390">
        <v>0.46800000000000003</v>
      </c>
      <c r="M24" s="396"/>
      <c r="N24" s="396">
        <v>0</v>
      </c>
      <c r="O24" s="397">
        <v>40360</v>
      </c>
      <c r="P24" s="396">
        <v>1.873</v>
      </c>
      <c r="Q24" s="391"/>
      <c r="R24" s="391" t="s">
        <v>1696</v>
      </c>
      <c r="S24" s="399"/>
      <c r="T24" s="397"/>
      <c r="U24" s="397"/>
      <c r="V24" s="391"/>
      <c r="W24" s="392"/>
      <c r="X24" s="391"/>
      <c r="Y24" s="508" t="s">
        <v>1084</v>
      </c>
      <c r="Z24" s="392" t="s">
        <v>408</v>
      </c>
      <c r="AA24" s="496">
        <v>40451</v>
      </c>
      <c r="AB24" s="402"/>
      <c r="AC24" s="401">
        <v>40449</v>
      </c>
      <c r="AD24" s="401"/>
      <c r="AE24" s="401">
        <v>40415</v>
      </c>
      <c r="AF24" s="391"/>
      <c r="AG24" s="390">
        <v>0</v>
      </c>
      <c r="AH24" s="391"/>
      <c r="AI24" s="391"/>
      <c r="AJ24" s="391"/>
    </row>
    <row r="25" spans="1:38" s="464" customFormat="1" ht="15" customHeight="1">
      <c r="A25" s="451" t="s">
        <v>2156</v>
      </c>
      <c r="B25" s="502">
        <v>239</v>
      </c>
      <c r="C25" s="467" t="s">
        <v>2158</v>
      </c>
      <c r="D25" s="467" t="s">
        <v>707</v>
      </c>
      <c r="E25" s="463" t="s">
        <v>707</v>
      </c>
      <c r="F25" s="466">
        <v>2</v>
      </c>
      <c r="G25" s="466" t="s">
        <v>2159</v>
      </c>
      <c r="H25" s="500" t="s">
        <v>2160</v>
      </c>
      <c r="I25" s="518" t="s">
        <v>13</v>
      </c>
      <c r="J25" s="467" t="s">
        <v>687</v>
      </c>
      <c r="K25" s="435" t="s">
        <v>2001</v>
      </c>
      <c r="L25" s="514"/>
      <c r="M25" s="469"/>
      <c r="N25" s="469"/>
      <c r="O25" s="470">
        <v>39448</v>
      </c>
      <c r="P25" s="469"/>
      <c r="Q25" s="466"/>
      <c r="R25" s="463" t="s">
        <v>1731</v>
      </c>
      <c r="S25" s="476"/>
      <c r="T25" s="470"/>
      <c r="U25" s="470"/>
      <c r="V25" s="466"/>
      <c r="W25" s="463"/>
      <c r="X25" s="466"/>
      <c r="Y25" s="519" t="s">
        <v>1615</v>
      </c>
      <c r="Z25" s="463" t="s">
        <v>1616</v>
      </c>
      <c r="AA25" s="501">
        <v>40519</v>
      </c>
      <c r="AB25" s="520"/>
      <c r="AC25" s="521"/>
      <c r="AD25" s="521"/>
      <c r="AE25" s="521"/>
      <c r="AF25" s="466"/>
      <c r="AG25" s="514"/>
      <c r="AH25" s="466"/>
      <c r="AI25" s="466"/>
      <c r="AJ25" s="466"/>
    </row>
    <row r="26" spans="1:38" s="464" customFormat="1" ht="24.75" customHeight="1">
      <c r="A26" s="451" t="s">
        <v>2157</v>
      </c>
      <c r="B26" s="502">
        <v>239</v>
      </c>
      <c r="C26" s="467" t="s">
        <v>2161</v>
      </c>
      <c r="D26" s="467" t="s">
        <v>707</v>
      </c>
      <c r="E26" s="463" t="s">
        <v>2162</v>
      </c>
      <c r="F26" s="466">
        <v>2</v>
      </c>
      <c r="G26" s="466" t="s">
        <v>2159</v>
      </c>
      <c r="H26" s="500" t="s">
        <v>2160</v>
      </c>
      <c r="I26" s="518" t="s">
        <v>13</v>
      </c>
      <c r="J26" s="467" t="s">
        <v>687</v>
      </c>
      <c r="K26" s="500" t="s">
        <v>2001</v>
      </c>
      <c r="L26" s="469">
        <v>2.6760000000000002</v>
      </c>
      <c r="M26" s="469"/>
      <c r="N26" s="469">
        <v>0</v>
      </c>
      <c r="O26" s="470">
        <v>40153</v>
      </c>
      <c r="P26" s="469">
        <f>L26*3.068</f>
        <v>8.2099679999999999</v>
      </c>
      <c r="Q26" s="466"/>
      <c r="R26" s="530" t="s">
        <v>1731</v>
      </c>
      <c r="S26" s="476"/>
      <c r="T26" s="470"/>
      <c r="U26" s="470"/>
      <c r="V26" s="466"/>
      <c r="W26" s="463"/>
      <c r="X26" s="466"/>
      <c r="Y26" s="519"/>
      <c r="Z26" s="463" t="s">
        <v>1616</v>
      </c>
      <c r="AA26" s="501">
        <v>40519</v>
      </c>
      <c r="AB26" s="520"/>
      <c r="AC26" s="521"/>
      <c r="AD26" s="521"/>
      <c r="AE26" s="521"/>
      <c r="AF26" s="466"/>
      <c r="AG26" s="514">
        <v>0</v>
      </c>
      <c r="AH26" s="466"/>
      <c r="AI26" s="466"/>
      <c r="AJ26" s="466"/>
    </row>
    <row r="27" spans="1:38" s="464" customFormat="1" ht="24.75" customHeight="1">
      <c r="A27" s="451" t="s">
        <v>2220</v>
      </c>
      <c r="B27" s="502" t="s">
        <v>2225</v>
      </c>
      <c r="C27" s="445" t="s">
        <v>2219</v>
      </c>
      <c r="D27" s="419" t="s">
        <v>558</v>
      </c>
      <c r="E27" s="420" t="s">
        <v>2222</v>
      </c>
      <c r="F27" s="419">
        <v>1</v>
      </c>
      <c r="G27" s="419" t="s">
        <v>2223</v>
      </c>
      <c r="H27" s="448" t="s">
        <v>968</v>
      </c>
      <c r="I27" s="454" t="s">
        <v>13</v>
      </c>
      <c r="J27" s="453" t="s">
        <v>687</v>
      </c>
      <c r="K27" s="526" t="s">
        <v>14</v>
      </c>
      <c r="L27" s="432"/>
      <c r="M27" s="423"/>
      <c r="N27" s="423"/>
      <c r="O27" s="444">
        <v>40084</v>
      </c>
      <c r="P27" s="423"/>
      <c r="Q27" s="419"/>
      <c r="R27" s="419" t="s">
        <v>1732</v>
      </c>
      <c r="S27" s="423">
        <f>3.65+2.841</f>
        <v>6.4909999999999997</v>
      </c>
      <c r="T27" s="444">
        <v>41044</v>
      </c>
      <c r="U27" s="444">
        <v>41274</v>
      </c>
      <c r="V27" s="419"/>
      <c r="W27" s="420"/>
      <c r="X27" s="391" t="s">
        <v>1696</v>
      </c>
      <c r="Y27" s="508" t="s">
        <v>3311</v>
      </c>
      <c r="Z27" s="420" t="s">
        <v>408</v>
      </c>
      <c r="AA27" s="496">
        <v>40553</v>
      </c>
      <c r="AB27" s="430"/>
      <c r="AC27" s="431">
        <v>40533</v>
      </c>
      <c r="AD27" s="431"/>
      <c r="AE27" s="431">
        <v>40533</v>
      </c>
      <c r="AF27" s="419"/>
      <c r="AG27" s="432"/>
      <c r="AH27" s="419"/>
      <c r="AI27" s="419"/>
      <c r="AJ27" s="419"/>
    </row>
    <row r="28" spans="1:38" s="464" customFormat="1" ht="24.75" customHeight="1">
      <c r="A28" s="451" t="s">
        <v>2221</v>
      </c>
      <c r="B28" s="502" t="s">
        <v>2225</v>
      </c>
      <c r="C28" s="445" t="s">
        <v>2224</v>
      </c>
      <c r="D28" s="419" t="s">
        <v>558</v>
      </c>
      <c r="E28" s="420" t="s">
        <v>2222</v>
      </c>
      <c r="F28" s="419">
        <v>1</v>
      </c>
      <c r="G28" s="419" t="s">
        <v>2223</v>
      </c>
      <c r="H28" s="448" t="s">
        <v>968</v>
      </c>
      <c r="I28" s="454" t="s">
        <v>13</v>
      </c>
      <c r="J28" s="453" t="s">
        <v>687</v>
      </c>
      <c r="K28" s="526" t="s">
        <v>14</v>
      </c>
      <c r="L28" s="432">
        <v>2.36</v>
      </c>
      <c r="M28" s="423"/>
      <c r="N28" s="423">
        <v>0</v>
      </c>
      <c r="O28" s="444">
        <v>40179</v>
      </c>
      <c r="P28" s="423">
        <f>L28*3</f>
        <v>7.08</v>
      </c>
      <c r="Q28" s="419"/>
      <c r="R28" s="419" t="s">
        <v>1732</v>
      </c>
      <c r="S28" s="425"/>
      <c r="T28" s="444"/>
      <c r="U28" s="444"/>
      <c r="V28" s="419"/>
      <c r="W28" s="420"/>
      <c r="X28" s="419"/>
      <c r="Y28" s="508" t="s">
        <v>3311</v>
      </c>
      <c r="Z28" s="420" t="s">
        <v>408</v>
      </c>
      <c r="AA28" s="496">
        <v>40553</v>
      </c>
      <c r="AB28" s="430"/>
      <c r="AC28" s="431">
        <v>40533</v>
      </c>
      <c r="AD28" s="431"/>
      <c r="AE28" s="431">
        <v>40533</v>
      </c>
      <c r="AF28" s="419"/>
      <c r="AG28" s="432">
        <v>0</v>
      </c>
      <c r="AH28" s="419"/>
      <c r="AI28" s="419"/>
      <c r="AJ28" s="419"/>
    </row>
    <row r="29" spans="1:38" s="464" customFormat="1" ht="24.75" customHeight="1">
      <c r="A29" s="451" t="s">
        <v>2708</v>
      </c>
      <c r="B29" s="502" t="s">
        <v>2475</v>
      </c>
      <c r="C29" s="445" t="s">
        <v>2707</v>
      </c>
      <c r="D29" s="419" t="s">
        <v>558</v>
      </c>
      <c r="E29" s="449" t="s">
        <v>558</v>
      </c>
      <c r="F29" s="419">
        <v>1</v>
      </c>
      <c r="G29" s="445" t="s">
        <v>2711</v>
      </c>
      <c r="H29" s="448" t="s">
        <v>968</v>
      </c>
      <c r="I29" s="454" t="s">
        <v>13</v>
      </c>
      <c r="J29" s="453" t="s">
        <v>687</v>
      </c>
      <c r="K29" s="526" t="s">
        <v>14</v>
      </c>
      <c r="L29" s="432"/>
      <c r="M29" s="423"/>
      <c r="N29" s="423"/>
      <c r="O29" s="444">
        <v>39573</v>
      </c>
      <c r="P29" s="423"/>
      <c r="Q29" s="419"/>
      <c r="R29" s="419" t="s">
        <v>1732</v>
      </c>
      <c r="S29" s="425"/>
      <c r="T29" s="444"/>
      <c r="U29" s="444"/>
      <c r="V29" s="419"/>
      <c r="W29" s="420"/>
      <c r="X29" s="419"/>
      <c r="Y29" s="508" t="s">
        <v>1084</v>
      </c>
      <c r="Z29" s="420" t="s">
        <v>408</v>
      </c>
      <c r="AA29" s="496">
        <v>40849</v>
      </c>
      <c r="AB29" s="430"/>
      <c r="AC29" s="431">
        <v>40746</v>
      </c>
      <c r="AD29" s="431"/>
      <c r="AE29" s="431">
        <v>40548</v>
      </c>
      <c r="AF29" s="419"/>
      <c r="AG29" s="432"/>
      <c r="AH29" s="419"/>
      <c r="AI29" s="419"/>
      <c r="AJ29" s="419"/>
    </row>
    <row r="30" spans="1:38" s="464" customFormat="1" ht="24.75" customHeight="1">
      <c r="A30" s="451" t="s">
        <v>2709</v>
      </c>
      <c r="B30" s="502" t="s">
        <v>2475</v>
      </c>
      <c r="C30" s="445" t="s">
        <v>2710</v>
      </c>
      <c r="D30" s="419" t="s">
        <v>558</v>
      </c>
      <c r="E30" s="449" t="s">
        <v>558</v>
      </c>
      <c r="F30" s="419">
        <v>1</v>
      </c>
      <c r="G30" s="445" t="s">
        <v>2711</v>
      </c>
      <c r="H30" s="448" t="s">
        <v>968</v>
      </c>
      <c r="I30" s="454" t="s">
        <v>13</v>
      </c>
      <c r="J30" s="453" t="s">
        <v>687</v>
      </c>
      <c r="K30" s="526" t="s">
        <v>14</v>
      </c>
      <c r="L30" s="432">
        <v>1.0189999999999999</v>
      </c>
      <c r="M30" s="423"/>
      <c r="N30" s="423">
        <v>0</v>
      </c>
      <c r="O30" s="444">
        <v>39573</v>
      </c>
      <c r="P30" s="423">
        <v>4.4160000000000004</v>
      </c>
      <c r="Q30" s="419"/>
      <c r="R30" s="419" t="s">
        <v>1732</v>
      </c>
      <c r="S30" s="425"/>
      <c r="T30" s="444"/>
      <c r="U30" s="444"/>
      <c r="V30" s="419"/>
      <c r="W30" s="420"/>
      <c r="X30" s="419"/>
      <c r="Y30" s="508" t="s">
        <v>1084</v>
      </c>
      <c r="Z30" s="420" t="s">
        <v>408</v>
      </c>
      <c r="AA30" s="496">
        <v>40849</v>
      </c>
      <c r="AB30" s="430"/>
      <c r="AC30" s="431">
        <v>40746</v>
      </c>
      <c r="AD30" s="431"/>
      <c r="AE30" s="431">
        <v>40548</v>
      </c>
      <c r="AF30" s="419"/>
      <c r="AG30" s="432"/>
      <c r="AH30" s="419"/>
      <c r="AI30" s="419"/>
      <c r="AJ30" s="419"/>
    </row>
    <row r="31" spans="1:38" s="464" customFormat="1" ht="24.75" customHeight="1">
      <c r="A31" s="451" t="s">
        <v>2958</v>
      </c>
      <c r="B31" s="502" t="s">
        <v>3610</v>
      </c>
      <c r="C31" s="445" t="s">
        <v>2960</v>
      </c>
      <c r="D31" s="419" t="s">
        <v>558</v>
      </c>
      <c r="E31" s="449" t="s">
        <v>558</v>
      </c>
      <c r="F31" s="419">
        <v>1</v>
      </c>
      <c r="G31" s="445" t="s">
        <v>2962</v>
      </c>
      <c r="H31" s="448" t="s">
        <v>968</v>
      </c>
      <c r="I31" s="450" t="s">
        <v>1483</v>
      </c>
      <c r="J31" s="449" t="s">
        <v>2961</v>
      </c>
      <c r="K31" s="533" t="s">
        <v>2001</v>
      </c>
      <c r="L31" s="432"/>
      <c r="M31" s="423"/>
      <c r="N31" s="423"/>
      <c r="O31" s="444">
        <v>40483</v>
      </c>
      <c r="P31" s="423"/>
      <c r="Q31" s="419"/>
      <c r="R31" s="419" t="s">
        <v>1732</v>
      </c>
      <c r="S31" s="423">
        <v>1.2549999999999999</v>
      </c>
      <c r="T31" s="444">
        <v>41388</v>
      </c>
      <c r="U31" s="444">
        <v>41274</v>
      </c>
      <c r="V31" s="419"/>
      <c r="W31" s="420"/>
      <c r="X31" s="391" t="s">
        <v>1696</v>
      </c>
      <c r="Y31" s="508" t="s">
        <v>4083</v>
      </c>
      <c r="Z31" s="420" t="s">
        <v>408</v>
      </c>
      <c r="AA31" s="496">
        <v>40952</v>
      </c>
      <c r="AB31" s="430"/>
      <c r="AC31" s="431">
        <v>40882</v>
      </c>
      <c r="AD31" s="431"/>
      <c r="AE31" s="431"/>
      <c r="AF31" s="419"/>
      <c r="AG31" s="432"/>
      <c r="AH31" s="419"/>
      <c r="AI31" s="419"/>
      <c r="AJ31" s="419"/>
    </row>
    <row r="32" spans="1:38" s="464" customFormat="1" ht="24.75" customHeight="1">
      <c r="A32" s="451" t="s">
        <v>2959</v>
      </c>
      <c r="B32" s="502" t="s">
        <v>3610</v>
      </c>
      <c r="C32" s="445" t="s">
        <v>2963</v>
      </c>
      <c r="D32" s="419" t="s">
        <v>558</v>
      </c>
      <c r="E32" s="449" t="s">
        <v>558</v>
      </c>
      <c r="F32" s="419">
        <v>1</v>
      </c>
      <c r="G32" s="445" t="s">
        <v>2962</v>
      </c>
      <c r="H32" s="448" t="s">
        <v>968</v>
      </c>
      <c r="I32" s="450" t="s">
        <v>1483</v>
      </c>
      <c r="J32" s="449" t="s">
        <v>2961</v>
      </c>
      <c r="K32" s="533" t="s">
        <v>2001</v>
      </c>
      <c r="L32" s="432">
        <v>0.14799999999999999</v>
      </c>
      <c r="M32" s="423"/>
      <c r="N32" s="423">
        <v>0</v>
      </c>
      <c r="O32" s="444">
        <v>40483</v>
      </c>
      <c r="P32" s="423">
        <f>L32*2.16667</f>
        <v>0.32066715999999995</v>
      </c>
      <c r="Q32" s="419"/>
      <c r="R32" s="419" t="s">
        <v>1732</v>
      </c>
      <c r="S32" s="425"/>
      <c r="T32" s="444"/>
      <c r="U32" s="444"/>
      <c r="V32" s="419"/>
      <c r="W32" s="420"/>
      <c r="X32" s="419"/>
      <c r="Y32" s="508" t="s">
        <v>1084</v>
      </c>
      <c r="Z32" s="420" t="s">
        <v>408</v>
      </c>
      <c r="AA32" s="496">
        <v>40952</v>
      </c>
      <c r="AB32" s="430"/>
      <c r="AC32" s="431">
        <v>40882</v>
      </c>
      <c r="AD32" s="431"/>
      <c r="AE32" s="431"/>
      <c r="AF32" s="419"/>
      <c r="AG32" s="432"/>
      <c r="AH32" s="419"/>
      <c r="AI32" s="419"/>
      <c r="AJ32" s="419"/>
    </row>
    <row r="33" spans="1:36" s="464" customFormat="1" ht="24.75" customHeight="1">
      <c r="A33" s="451" t="s">
        <v>3099</v>
      </c>
      <c r="B33" s="502" t="s">
        <v>3541</v>
      </c>
      <c r="C33" s="445" t="s">
        <v>3093</v>
      </c>
      <c r="D33" s="419" t="s">
        <v>847</v>
      </c>
      <c r="E33" s="449" t="s">
        <v>847</v>
      </c>
      <c r="F33" s="419">
        <v>1</v>
      </c>
      <c r="G33" s="445" t="s">
        <v>3094</v>
      </c>
      <c r="H33" s="448" t="s">
        <v>968</v>
      </c>
      <c r="I33" s="450" t="s">
        <v>719</v>
      </c>
      <c r="J33" s="449" t="s">
        <v>2085</v>
      </c>
      <c r="K33" s="533" t="s">
        <v>2001</v>
      </c>
      <c r="L33" s="432"/>
      <c r="M33" s="423"/>
      <c r="N33" s="423"/>
      <c r="O33" s="444">
        <v>39448</v>
      </c>
      <c r="P33" s="423"/>
      <c r="Q33" s="419"/>
      <c r="R33" s="420"/>
      <c r="S33" s="423">
        <v>5.6820000000000004</v>
      </c>
      <c r="T33" s="444"/>
      <c r="U33" s="444">
        <v>41274</v>
      </c>
      <c r="V33" s="419"/>
      <c r="W33" s="420"/>
      <c r="X33" s="419"/>
      <c r="Y33" s="508" t="s">
        <v>3095</v>
      </c>
      <c r="Z33" s="420" t="s">
        <v>408</v>
      </c>
      <c r="AA33" s="496">
        <v>41050</v>
      </c>
      <c r="AB33" s="430"/>
      <c r="AC33" s="431"/>
      <c r="AD33" s="431"/>
      <c r="AE33" s="431"/>
      <c r="AF33" s="419"/>
      <c r="AG33" s="432"/>
      <c r="AH33" s="419"/>
      <c r="AI33" s="419"/>
      <c r="AJ33" s="419"/>
    </row>
    <row r="34" spans="1:36" s="464" customFormat="1" ht="24.75" customHeight="1">
      <c r="A34" s="451" t="s">
        <v>3100</v>
      </c>
      <c r="B34" s="502" t="s">
        <v>3541</v>
      </c>
      <c r="C34" s="445" t="s">
        <v>3098</v>
      </c>
      <c r="D34" s="419" t="s">
        <v>847</v>
      </c>
      <c r="E34" s="449"/>
      <c r="F34" s="419">
        <v>1</v>
      </c>
      <c r="G34" s="445" t="s">
        <v>3094</v>
      </c>
      <c r="H34" s="448" t="s">
        <v>968</v>
      </c>
      <c r="I34" s="450" t="s">
        <v>719</v>
      </c>
      <c r="J34" s="449" t="s">
        <v>2085</v>
      </c>
      <c r="K34" s="533" t="s">
        <v>2001</v>
      </c>
      <c r="L34" s="432">
        <f>P34/5</f>
        <v>22.6</v>
      </c>
      <c r="M34" s="423"/>
      <c r="N34" s="423"/>
      <c r="O34" s="444">
        <v>39448</v>
      </c>
      <c r="P34" s="423">
        <v>113</v>
      </c>
      <c r="Q34" s="419"/>
      <c r="R34" s="420"/>
      <c r="S34" s="423"/>
      <c r="T34" s="444"/>
      <c r="U34" s="444"/>
      <c r="V34" s="419"/>
      <c r="W34" s="420"/>
      <c r="X34" s="419"/>
      <c r="Y34" s="508" t="s">
        <v>3095</v>
      </c>
      <c r="Z34" s="420" t="s">
        <v>408</v>
      </c>
      <c r="AA34" s="496"/>
      <c r="AB34" s="430"/>
      <c r="AC34" s="431">
        <v>40924</v>
      </c>
      <c r="AD34" s="431"/>
      <c r="AE34" s="431"/>
      <c r="AF34" s="419"/>
      <c r="AG34" s="432"/>
      <c r="AH34" s="419"/>
      <c r="AI34" s="419"/>
      <c r="AJ34" s="419"/>
    </row>
    <row r="35" spans="1:36" s="464" customFormat="1" ht="24.75" customHeight="1">
      <c r="A35" s="451" t="s">
        <v>3101</v>
      </c>
      <c r="B35" s="502" t="s">
        <v>3542</v>
      </c>
      <c r="C35" s="445" t="s">
        <v>3096</v>
      </c>
      <c r="D35" s="419" t="s">
        <v>847</v>
      </c>
      <c r="E35" s="449" t="s">
        <v>847</v>
      </c>
      <c r="F35" s="419">
        <v>1</v>
      </c>
      <c r="G35" s="445" t="s">
        <v>3094</v>
      </c>
      <c r="H35" s="448" t="s">
        <v>968</v>
      </c>
      <c r="I35" s="450" t="s">
        <v>966</v>
      </c>
      <c r="J35" s="449" t="s">
        <v>3097</v>
      </c>
      <c r="K35" s="533" t="s">
        <v>2001</v>
      </c>
      <c r="L35" s="432"/>
      <c r="M35" s="423"/>
      <c r="N35" s="423"/>
      <c r="O35" s="444">
        <v>39448</v>
      </c>
      <c r="P35" s="423"/>
      <c r="Q35" s="419"/>
      <c r="R35" s="420"/>
      <c r="S35" s="423">
        <f>4.425</f>
        <v>4.4249999999999998</v>
      </c>
      <c r="T35" s="444"/>
      <c r="U35" s="444">
        <v>41274</v>
      </c>
      <c r="V35" s="419"/>
      <c r="W35" s="420"/>
      <c r="X35" s="419"/>
      <c r="Y35" s="508" t="s">
        <v>3095</v>
      </c>
      <c r="Z35" s="420" t="s">
        <v>408</v>
      </c>
      <c r="AA35" s="496"/>
      <c r="AB35" s="430"/>
      <c r="AC35" s="431"/>
      <c r="AD35" s="431"/>
      <c r="AE35" s="431"/>
      <c r="AF35" s="419"/>
      <c r="AG35" s="432"/>
      <c r="AH35" s="419"/>
      <c r="AI35" s="419"/>
      <c r="AJ35" s="419"/>
    </row>
    <row r="36" spans="1:36" s="464" customFormat="1" ht="24.75" customHeight="1">
      <c r="A36" s="451" t="s">
        <v>3102</v>
      </c>
      <c r="B36" s="502" t="s">
        <v>3542</v>
      </c>
      <c r="C36" s="445" t="s">
        <v>3098</v>
      </c>
      <c r="D36" s="419" t="s">
        <v>847</v>
      </c>
      <c r="E36" s="449"/>
      <c r="F36" s="419">
        <v>1</v>
      </c>
      <c r="G36" s="445" t="s">
        <v>3094</v>
      </c>
      <c r="H36" s="448" t="s">
        <v>968</v>
      </c>
      <c r="I36" s="450" t="s">
        <v>966</v>
      </c>
      <c r="J36" s="449" t="s">
        <v>3097</v>
      </c>
      <c r="K36" s="533" t="s">
        <v>2001</v>
      </c>
      <c r="L36" s="432">
        <f>P36/5</f>
        <v>17.792200000000001</v>
      </c>
      <c r="M36" s="423"/>
      <c r="N36" s="423"/>
      <c r="O36" s="444">
        <v>39448</v>
      </c>
      <c r="P36" s="423">
        <v>88.960999999999999</v>
      </c>
      <c r="Q36" s="419"/>
      <c r="R36" s="420"/>
      <c r="S36" s="423"/>
      <c r="T36" s="444"/>
      <c r="U36" s="444"/>
      <c r="V36" s="419"/>
      <c r="W36" s="420"/>
      <c r="X36" s="419"/>
      <c r="Y36" s="508" t="s">
        <v>3095</v>
      </c>
      <c r="Z36" s="420" t="s">
        <v>408</v>
      </c>
      <c r="AA36" s="496"/>
      <c r="AB36" s="430"/>
      <c r="AC36" s="431">
        <v>40924</v>
      </c>
      <c r="AD36" s="431"/>
      <c r="AE36" s="431"/>
      <c r="AF36" s="419"/>
      <c r="AG36" s="432"/>
      <c r="AH36" s="419"/>
      <c r="AI36" s="419"/>
      <c r="AJ36" s="419"/>
    </row>
    <row r="37" spans="1:36" s="464" customFormat="1" ht="24.75" customHeight="1">
      <c r="A37" s="451" t="s">
        <v>3129</v>
      </c>
      <c r="B37" s="502" t="s">
        <v>3528</v>
      </c>
      <c r="C37" s="445" t="s">
        <v>3131</v>
      </c>
      <c r="D37" s="419" t="s">
        <v>1397</v>
      </c>
      <c r="E37" s="419" t="s">
        <v>1397</v>
      </c>
      <c r="F37" s="419">
        <v>1</v>
      </c>
      <c r="G37" s="445" t="s">
        <v>3132</v>
      </c>
      <c r="H37" s="448" t="s">
        <v>968</v>
      </c>
      <c r="I37" s="450" t="s">
        <v>966</v>
      </c>
      <c r="J37" s="449" t="s">
        <v>3133</v>
      </c>
      <c r="K37" s="533" t="s">
        <v>2001</v>
      </c>
      <c r="L37" s="432"/>
      <c r="M37" s="423"/>
      <c r="N37" s="423"/>
      <c r="O37" s="444">
        <v>40909</v>
      </c>
      <c r="P37" s="423"/>
      <c r="Q37" s="419"/>
      <c r="R37" s="420" t="s">
        <v>1018</v>
      </c>
      <c r="S37" s="425"/>
      <c r="T37" s="444"/>
      <c r="U37" s="444"/>
      <c r="V37" s="419"/>
      <c r="W37" s="420"/>
      <c r="X37" s="419"/>
      <c r="Y37" s="508" t="s">
        <v>1084</v>
      </c>
      <c r="Z37" s="420" t="s">
        <v>3132</v>
      </c>
      <c r="AA37" s="496">
        <v>41074</v>
      </c>
      <c r="AB37" s="430"/>
      <c r="AC37" s="431">
        <v>41022</v>
      </c>
      <c r="AD37" s="431"/>
      <c r="AE37" s="431"/>
      <c r="AF37" s="419"/>
      <c r="AG37" s="432"/>
      <c r="AH37" s="419"/>
      <c r="AI37" s="419"/>
      <c r="AJ37" s="419"/>
    </row>
    <row r="38" spans="1:36" s="464" customFormat="1" ht="24.75" customHeight="1">
      <c r="A38" s="451" t="s">
        <v>3130</v>
      </c>
      <c r="B38" s="502" t="s">
        <v>3528</v>
      </c>
      <c r="C38" s="445" t="s">
        <v>3098</v>
      </c>
      <c r="D38" s="419" t="s">
        <v>1397</v>
      </c>
      <c r="E38" s="419"/>
      <c r="F38" s="419">
        <v>1</v>
      </c>
      <c r="G38" s="445" t="s">
        <v>3132</v>
      </c>
      <c r="H38" s="448" t="s">
        <v>968</v>
      </c>
      <c r="I38" s="450" t="s">
        <v>966</v>
      </c>
      <c r="J38" s="449" t="s">
        <v>3133</v>
      </c>
      <c r="K38" s="533" t="s">
        <v>2001</v>
      </c>
      <c r="L38" s="432">
        <v>6000</v>
      </c>
      <c r="M38" s="423"/>
      <c r="N38" s="423">
        <v>0</v>
      </c>
      <c r="O38" s="444">
        <v>40909</v>
      </c>
      <c r="P38" s="423">
        <f>L38</f>
        <v>6000</v>
      </c>
      <c r="Q38" s="419"/>
      <c r="R38" s="420" t="s">
        <v>1018</v>
      </c>
      <c r="S38" s="425"/>
      <c r="T38" s="444"/>
      <c r="U38" s="444"/>
      <c r="V38" s="419"/>
      <c r="W38" s="420"/>
      <c r="X38" s="419"/>
      <c r="Y38" s="508" t="s">
        <v>1084</v>
      </c>
      <c r="Z38" s="420" t="s">
        <v>3132</v>
      </c>
      <c r="AA38" s="496">
        <v>41074</v>
      </c>
      <c r="AB38" s="430"/>
      <c r="AC38" s="431">
        <v>41022</v>
      </c>
      <c r="AD38" s="431"/>
      <c r="AE38" s="431"/>
      <c r="AF38" s="419"/>
      <c r="AG38" s="432">
        <v>0</v>
      </c>
      <c r="AH38" s="419"/>
      <c r="AI38" s="419"/>
      <c r="AJ38" s="419"/>
    </row>
    <row r="39" spans="1:36" s="464" customFormat="1" ht="24.75" customHeight="1">
      <c r="A39" s="451" t="s">
        <v>3135</v>
      </c>
      <c r="B39" s="502" t="s">
        <v>3316</v>
      </c>
      <c r="C39" s="445" t="s">
        <v>3134</v>
      </c>
      <c r="D39" s="419" t="s">
        <v>1397</v>
      </c>
      <c r="E39" s="419" t="s">
        <v>1397</v>
      </c>
      <c r="F39" s="419">
        <v>1</v>
      </c>
      <c r="G39" s="420" t="s">
        <v>3138</v>
      </c>
      <c r="H39" s="448" t="s">
        <v>968</v>
      </c>
      <c r="I39" s="450" t="s">
        <v>1059</v>
      </c>
      <c r="J39" s="449" t="s">
        <v>3137</v>
      </c>
      <c r="K39" s="533" t="s">
        <v>2001</v>
      </c>
      <c r="L39" s="432"/>
      <c r="M39" s="423"/>
      <c r="N39" s="423"/>
      <c r="O39" s="444">
        <v>40787</v>
      </c>
      <c r="P39" s="423"/>
      <c r="Q39" s="419"/>
      <c r="R39" s="420" t="s">
        <v>1018</v>
      </c>
      <c r="S39" s="425"/>
      <c r="T39" s="444"/>
      <c r="U39" s="444"/>
      <c r="V39" s="419"/>
      <c r="W39" s="420"/>
      <c r="X39" s="419"/>
      <c r="Y39" s="508" t="s">
        <v>1084</v>
      </c>
      <c r="Z39" s="420" t="s">
        <v>3139</v>
      </c>
      <c r="AA39" s="496">
        <v>41074</v>
      </c>
      <c r="AB39" s="430"/>
      <c r="AC39" s="431">
        <v>41044</v>
      </c>
      <c r="AD39" s="431"/>
      <c r="AE39" s="431"/>
      <c r="AF39" s="419"/>
      <c r="AG39" s="432"/>
      <c r="AH39" s="419"/>
      <c r="AI39" s="419"/>
      <c r="AJ39" s="419"/>
    </row>
    <row r="40" spans="1:36" s="464" customFormat="1" ht="24.75" customHeight="1">
      <c r="A40" s="451" t="s">
        <v>3136</v>
      </c>
      <c r="B40" s="502" t="s">
        <v>3316</v>
      </c>
      <c r="C40" s="445" t="s">
        <v>3098</v>
      </c>
      <c r="D40" s="419" t="s">
        <v>1397</v>
      </c>
      <c r="E40" s="419"/>
      <c r="F40" s="419">
        <v>1</v>
      </c>
      <c r="G40" s="420" t="s">
        <v>3138</v>
      </c>
      <c r="H40" s="448" t="s">
        <v>968</v>
      </c>
      <c r="I40" s="450" t="s">
        <v>1059</v>
      </c>
      <c r="J40" s="449" t="s">
        <v>3137</v>
      </c>
      <c r="K40" s="533" t="s">
        <v>2001</v>
      </c>
      <c r="L40" s="432">
        <f>P40/1.33</f>
        <v>821.65939849624056</v>
      </c>
      <c r="M40" s="423"/>
      <c r="N40" s="423"/>
      <c r="O40" s="444">
        <v>40787</v>
      </c>
      <c r="P40" s="423">
        <v>1092.807</v>
      </c>
      <c r="Q40" s="419"/>
      <c r="R40" s="420" t="s">
        <v>1018</v>
      </c>
      <c r="S40" s="425"/>
      <c r="T40" s="444"/>
      <c r="U40" s="444"/>
      <c r="V40" s="419"/>
      <c r="W40" s="420"/>
      <c r="X40" s="419"/>
      <c r="Y40" s="508" t="s">
        <v>1084</v>
      </c>
      <c r="Z40" s="420" t="s">
        <v>3139</v>
      </c>
      <c r="AA40" s="496">
        <v>41074</v>
      </c>
      <c r="AB40" s="430"/>
      <c r="AC40" s="431">
        <v>41044</v>
      </c>
      <c r="AD40" s="431"/>
      <c r="AE40" s="431"/>
      <c r="AF40" s="419"/>
      <c r="AG40" s="432">
        <v>0</v>
      </c>
      <c r="AH40" s="419"/>
      <c r="AI40" s="419"/>
      <c r="AJ40" s="419"/>
    </row>
    <row r="41" spans="1:36" s="464" customFormat="1" ht="30" customHeight="1">
      <c r="A41" s="451" t="s">
        <v>3144</v>
      </c>
      <c r="B41" s="502" t="s">
        <v>3253</v>
      </c>
      <c r="C41" s="445" t="s">
        <v>3146</v>
      </c>
      <c r="D41" s="419" t="s">
        <v>1397</v>
      </c>
      <c r="E41" s="419" t="s">
        <v>1397</v>
      </c>
      <c r="F41" s="419">
        <v>1</v>
      </c>
      <c r="G41" s="449" t="s">
        <v>3148</v>
      </c>
      <c r="H41" s="448" t="s">
        <v>968</v>
      </c>
      <c r="I41" s="450" t="s">
        <v>1059</v>
      </c>
      <c r="J41" s="449" t="s">
        <v>3238</v>
      </c>
      <c r="K41" s="455" t="s">
        <v>3147</v>
      </c>
      <c r="L41" s="432"/>
      <c r="M41" s="423"/>
      <c r="N41" s="423"/>
      <c r="O41" s="444">
        <v>40969</v>
      </c>
      <c r="P41" s="423"/>
      <c r="Q41" s="419"/>
      <c r="R41" s="420" t="s">
        <v>1018</v>
      </c>
      <c r="S41" s="425">
        <f>9.595</f>
        <v>9.5950000000000006</v>
      </c>
      <c r="T41" s="444">
        <v>41332</v>
      </c>
      <c r="U41" s="444">
        <v>41274</v>
      </c>
      <c r="V41" s="419"/>
      <c r="W41" s="420"/>
      <c r="X41" s="419"/>
      <c r="Y41" s="508" t="s">
        <v>1084</v>
      </c>
      <c r="Z41" s="449" t="s">
        <v>3148</v>
      </c>
      <c r="AA41" s="496">
        <v>41085</v>
      </c>
      <c r="AB41" s="430"/>
      <c r="AC41" s="431">
        <v>41051</v>
      </c>
      <c r="AD41" s="431"/>
      <c r="AE41" s="431"/>
      <c r="AF41" s="419"/>
      <c r="AG41" s="432"/>
      <c r="AH41" s="419"/>
      <c r="AI41" s="419"/>
      <c r="AJ41" s="419"/>
    </row>
    <row r="42" spans="1:36" s="464" customFormat="1" ht="27.75" customHeight="1">
      <c r="A42" s="451" t="s">
        <v>3145</v>
      </c>
      <c r="B42" s="502" t="s">
        <v>3253</v>
      </c>
      <c r="C42" s="445" t="s">
        <v>3146</v>
      </c>
      <c r="D42" s="419" t="s">
        <v>1397</v>
      </c>
      <c r="E42" s="419"/>
      <c r="F42" s="419">
        <v>1</v>
      </c>
      <c r="G42" s="449" t="s">
        <v>3148</v>
      </c>
      <c r="H42" s="448" t="s">
        <v>968</v>
      </c>
      <c r="I42" s="450" t="s">
        <v>1059</v>
      </c>
      <c r="J42" s="449" t="s">
        <v>3238</v>
      </c>
      <c r="K42" s="455" t="s">
        <v>3147</v>
      </c>
      <c r="L42" s="432">
        <v>27.853000000000002</v>
      </c>
      <c r="M42" s="423"/>
      <c r="N42" s="423">
        <v>0</v>
      </c>
      <c r="O42" s="444">
        <v>40966</v>
      </c>
      <c r="P42" s="423">
        <f>L42</f>
        <v>27.853000000000002</v>
      </c>
      <c r="Q42" s="419"/>
      <c r="R42" s="420" t="s">
        <v>1018</v>
      </c>
      <c r="S42" s="425"/>
      <c r="T42" s="444"/>
      <c r="U42" s="444"/>
      <c r="V42" s="419"/>
      <c r="W42" s="420"/>
      <c r="X42" s="445" t="s">
        <v>1018</v>
      </c>
      <c r="Y42" s="508" t="s">
        <v>1084</v>
      </c>
      <c r="Z42" s="449" t="s">
        <v>3148</v>
      </c>
      <c r="AA42" s="496">
        <v>41085</v>
      </c>
      <c r="AB42" s="430"/>
      <c r="AC42" s="431">
        <v>41051</v>
      </c>
      <c r="AD42" s="431"/>
      <c r="AE42" s="431"/>
      <c r="AF42" s="419"/>
      <c r="AG42" s="432">
        <v>0</v>
      </c>
      <c r="AH42" s="419"/>
      <c r="AI42" s="419"/>
      <c r="AJ42" s="419"/>
    </row>
    <row r="43" spans="1:36" s="464" customFormat="1" ht="24.75" customHeight="1">
      <c r="A43" s="451" t="s">
        <v>3214</v>
      </c>
      <c r="B43" s="502" t="s">
        <v>2475</v>
      </c>
      <c r="C43" s="445" t="s">
        <v>3216</v>
      </c>
      <c r="D43" s="419" t="s">
        <v>558</v>
      </c>
      <c r="E43" s="449" t="s">
        <v>558</v>
      </c>
      <c r="F43" s="419">
        <v>1</v>
      </c>
      <c r="G43" s="449" t="s">
        <v>3312</v>
      </c>
      <c r="H43" s="448" t="s">
        <v>968</v>
      </c>
      <c r="I43" s="450" t="s">
        <v>719</v>
      </c>
      <c r="J43" s="449" t="s">
        <v>2085</v>
      </c>
      <c r="K43" s="533" t="s">
        <v>2001</v>
      </c>
      <c r="L43" s="432"/>
      <c r="M43" s="423"/>
      <c r="N43" s="423"/>
      <c r="O43" s="444">
        <v>39448</v>
      </c>
      <c r="P43" s="423"/>
      <c r="Q43" s="419"/>
      <c r="R43" s="391" t="s">
        <v>896</v>
      </c>
      <c r="S43" s="425"/>
      <c r="T43" s="444"/>
      <c r="U43" s="444"/>
      <c r="V43" s="419"/>
      <c r="W43" s="420"/>
      <c r="X43" s="419"/>
      <c r="Y43" s="508" t="s">
        <v>1084</v>
      </c>
      <c r="Z43" s="420" t="s">
        <v>408</v>
      </c>
      <c r="AA43" s="496">
        <v>41037</v>
      </c>
      <c r="AB43" s="430"/>
      <c r="AC43" s="431">
        <v>40980</v>
      </c>
      <c r="AD43" s="431"/>
      <c r="AE43" s="431"/>
      <c r="AF43" s="419"/>
      <c r="AG43" s="432"/>
      <c r="AH43" s="419"/>
      <c r="AI43" s="419"/>
      <c r="AJ43" s="419"/>
    </row>
    <row r="44" spans="1:36" s="464" customFormat="1" ht="24.75" customHeight="1">
      <c r="A44" s="451" t="s">
        <v>3215</v>
      </c>
      <c r="B44" s="502" t="s">
        <v>2475</v>
      </c>
      <c r="C44" s="445" t="s">
        <v>3098</v>
      </c>
      <c r="D44" s="419" t="s">
        <v>558</v>
      </c>
      <c r="E44" s="449"/>
      <c r="F44" s="419">
        <v>1</v>
      </c>
      <c r="G44" s="449" t="s">
        <v>3312</v>
      </c>
      <c r="H44" s="448" t="s">
        <v>968</v>
      </c>
      <c r="I44" s="450" t="s">
        <v>719</v>
      </c>
      <c r="J44" s="449" t="s">
        <v>2085</v>
      </c>
      <c r="K44" s="533" t="s">
        <v>2001</v>
      </c>
      <c r="L44" s="432">
        <v>60</v>
      </c>
      <c r="M44" s="423"/>
      <c r="N44" s="423">
        <v>0</v>
      </c>
      <c r="O44" s="444">
        <v>39448</v>
      </c>
      <c r="P44" s="423">
        <v>300</v>
      </c>
      <c r="Q44" s="419"/>
      <c r="R44" s="391" t="s">
        <v>896</v>
      </c>
      <c r="S44" s="425"/>
      <c r="T44" s="444"/>
      <c r="U44" s="444"/>
      <c r="V44" s="419"/>
      <c r="W44" s="420"/>
      <c r="X44" s="419"/>
      <c r="Y44" s="508" t="s">
        <v>1084</v>
      </c>
      <c r="Z44" s="420" t="s">
        <v>408</v>
      </c>
      <c r="AA44" s="496">
        <v>41037</v>
      </c>
      <c r="AB44" s="430"/>
      <c r="AC44" s="431">
        <v>40980</v>
      </c>
      <c r="AD44" s="431"/>
      <c r="AE44" s="431"/>
      <c r="AF44" s="419"/>
      <c r="AG44" s="432"/>
      <c r="AH44" s="419"/>
      <c r="AI44" s="419"/>
      <c r="AJ44" s="419"/>
    </row>
    <row r="45" spans="1:36" s="50" customFormat="1">
      <c r="A45" s="53"/>
      <c r="B45" s="192"/>
      <c r="C45" s="53"/>
      <c r="D45" s="53"/>
      <c r="E45" s="53"/>
      <c r="F45" s="53"/>
      <c r="G45" s="53"/>
      <c r="H45" s="53"/>
      <c r="I45" s="192"/>
      <c r="J45" s="53"/>
      <c r="K45" s="527"/>
      <c r="L45" s="192"/>
      <c r="M45" s="53"/>
      <c r="N45" s="415"/>
      <c r="O45" s="416"/>
      <c r="P45" s="53"/>
      <c r="Q45" s="53"/>
      <c r="R45" s="192"/>
      <c r="S45" s="53"/>
      <c r="T45" s="416"/>
      <c r="U45" s="416"/>
      <c r="V45" s="53"/>
      <c r="W45" s="192"/>
      <c r="X45" s="53"/>
      <c r="Y45" s="53"/>
      <c r="Z45" s="192"/>
      <c r="AA45" s="356"/>
      <c r="AB45" s="53"/>
      <c r="AC45" s="53"/>
      <c r="AD45" s="53"/>
      <c r="AE45" s="356"/>
      <c r="AF45" s="53"/>
      <c r="AG45" s="192"/>
      <c r="AH45" s="53"/>
      <c r="AI45" s="53"/>
      <c r="AJ45" s="53"/>
    </row>
    <row r="46" spans="1:36" s="50" customFormat="1">
      <c r="K46" s="528"/>
      <c r="O46" s="417"/>
      <c r="S46" s="511">
        <f>SUM(S5:S45)</f>
        <v>96.03</v>
      </c>
      <c r="AA46" s="357"/>
    </row>
    <row r="47" spans="1:36" s="50" customFormat="1">
      <c r="K47" s="528"/>
      <c r="O47" s="417"/>
      <c r="AA47" s="357"/>
    </row>
    <row r="48" spans="1:36" s="50" customFormat="1">
      <c r="K48" s="528"/>
      <c r="O48" s="357"/>
      <c r="AA48" s="357"/>
    </row>
    <row r="49" spans="11:27" s="50" customFormat="1">
      <c r="K49" s="528"/>
      <c r="O49" s="357"/>
      <c r="AA49" s="357"/>
    </row>
    <row r="50" spans="11:27" s="50" customFormat="1">
      <c r="K50" s="528"/>
      <c r="O50" s="357"/>
      <c r="AA50" s="357"/>
    </row>
    <row r="51" spans="11:27" s="50" customFormat="1">
      <c r="K51" s="528"/>
      <c r="O51" s="357"/>
      <c r="AA51" s="357"/>
    </row>
    <row r="52" spans="11:27" s="50" customFormat="1">
      <c r="K52" s="528"/>
      <c r="O52" s="357"/>
      <c r="AA52" s="357"/>
    </row>
    <row r="53" spans="11:27" s="50" customFormat="1">
      <c r="K53" s="528"/>
      <c r="O53" s="357"/>
      <c r="AA53" s="357"/>
    </row>
    <row r="54" spans="11:27" s="50" customFormat="1">
      <c r="K54" s="528"/>
      <c r="O54" s="357"/>
      <c r="AA54" s="357"/>
    </row>
    <row r="55" spans="11:27" s="50" customFormat="1">
      <c r="K55" s="528"/>
      <c r="O55" s="357"/>
      <c r="AA55" s="357"/>
    </row>
    <row r="56" spans="11:27" s="50" customFormat="1">
      <c r="K56" s="528"/>
      <c r="O56" s="357"/>
      <c r="AA56" s="357"/>
    </row>
    <row r="57" spans="11:27" s="50" customFormat="1">
      <c r="K57" s="528"/>
      <c r="O57" s="357"/>
      <c r="AA57" s="357"/>
    </row>
    <row r="58" spans="11:27" s="351" customFormat="1">
      <c r="K58" s="529"/>
      <c r="O58" s="352"/>
      <c r="AA58" s="352"/>
    </row>
    <row r="59" spans="11:27" s="351" customFormat="1">
      <c r="K59" s="529"/>
      <c r="O59" s="352"/>
      <c r="AA59" s="352"/>
    </row>
    <row r="60" spans="11:27" s="351" customFormat="1">
      <c r="K60" s="529"/>
      <c r="O60" s="352"/>
      <c r="AA60" s="352"/>
    </row>
    <row r="61" spans="11:27" s="351" customFormat="1">
      <c r="K61" s="529"/>
      <c r="O61" s="352"/>
      <c r="AA61" s="352"/>
    </row>
    <row r="62" spans="11:27" s="351" customFormat="1">
      <c r="K62" s="529"/>
      <c r="O62" s="352"/>
      <c r="AA62" s="352"/>
    </row>
    <row r="63" spans="11:27" s="351" customFormat="1">
      <c r="K63" s="529"/>
      <c r="O63" s="352"/>
      <c r="AA63" s="352"/>
    </row>
    <row r="64" spans="11:27" s="351" customFormat="1">
      <c r="K64" s="529"/>
      <c r="O64" s="352"/>
      <c r="AA64" s="352"/>
    </row>
    <row r="65" spans="11:27" s="351" customFormat="1">
      <c r="K65" s="529"/>
      <c r="O65" s="352"/>
      <c r="AA65" s="352"/>
    </row>
    <row r="66" spans="11:27" s="351" customFormat="1">
      <c r="K66" s="529"/>
      <c r="O66" s="352"/>
      <c r="AA66" s="352"/>
    </row>
    <row r="67" spans="11:27" s="351" customFormat="1">
      <c r="K67" s="529"/>
      <c r="O67" s="352"/>
      <c r="AA67" s="352"/>
    </row>
    <row r="68" spans="11:27" s="351" customFormat="1">
      <c r="K68" s="529"/>
      <c r="O68" s="352"/>
      <c r="AA68" s="352"/>
    </row>
    <row r="69" spans="11:27" s="351" customFormat="1">
      <c r="K69" s="529"/>
      <c r="O69" s="352"/>
      <c r="AA69" s="352"/>
    </row>
    <row r="70" spans="11:27" s="351" customFormat="1">
      <c r="K70" s="529"/>
      <c r="O70" s="352"/>
      <c r="AA70" s="352"/>
    </row>
    <row r="71" spans="11:27" s="351" customFormat="1">
      <c r="K71" s="529"/>
      <c r="O71" s="352"/>
      <c r="AA71" s="352"/>
    </row>
    <row r="72" spans="11:27" s="351" customFormat="1">
      <c r="K72" s="529"/>
      <c r="O72" s="352"/>
      <c r="AA72" s="352"/>
    </row>
    <row r="73" spans="11:27" s="351" customFormat="1">
      <c r="K73" s="529"/>
      <c r="O73" s="352"/>
      <c r="AA73" s="352"/>
    </row>
    <row r="74" spans="11:27" s="351" customFormat="1">
      <c r="K74" s="529"/>
      <c r="O74" s="352"/>
      <c r="AA74" s="352"/>
    </row>
    <row r="75" spans="11:27" s="351" customFormat="1">
      <c r="K75" s="529"/>
      <c r="O75" s="352"/>
      <c r="AA75" s="352"/>
    </row>
    <row r="76" spans="11:27" s="351" customFormat="1">
      <c r="K76" s="529"/>
      <c r="O76" s="352"/>
      <c r="AA76" s="352"/>
    </row>
    <row r="77" spans="11:27" s="351" customFormat="1">
      <c r="K77" s="529"/>
      <c r="O77" s="352"/>
      <c r="AA77" s="352"/>
    </row>
    <row r="78" spans="11:27" s="351" customFormat="1">
      <c r="K78" s="529"/>
      <c r="O78" s="352"/>
      <c r="AA78" s="352"/>
    </row>
    <row r="79" spans="11:27" s="351" customFormat="1">
      <c r="K79" s="529"/>
      <c r="O79" s="352"/>
      <c r="AA79" s="352"/>
    </row>
    <row r="80" spans="11:27" s="351" customFormat="1">
      <c r="K80" s="529"/>
      <c r="O80" s="352"/>
      <c r="AA80" s="352"/>
    </row>
    <row r="81" spans="11:27" s="351" customFormat="1">
      <c r="K81" s="529"/>
      <c r="O81" s="352"/>
      <c r="AA81" s="352"/>
    </row>
    <row r="82" spans="11:27" s="351" customFormat="1">
      <c r="K82" s="529"/>
      <c r="O82" s="352"/>
      <c r="AA82" s="352"/>
    </row>
    <row r="83" spans="11:27" s="351" customFormat="1">
      <c r="K83" s="529"/>
      <c r="O83" s="352"/>
      <c r="AA83" s="352"/>
    </row>
    <row r="84" spans="11:27" s="351" customFormat="1">
      <c r="K84" s="529"/>
      <c r="O84" s="352"/>
      <c r="AA84" s="352"/>
    </row>
    <row r="85" spans="11:27" s="351" customFormat="1">
      <c r="K85" s="529"/>
      <c r="O85" s="352"/>
      <c r="AA85" s="352"/>
    </row>
    <row r="86" spans="11:27" s="351" customFormat="1">
      <c r="K86" s="529"/>
      <c r="O86" s="352"/>
      <c r="AA86" s="352"/>
    </row>
    <row r="87" spans="11:27" s="351" customFormat="1">
      <c r="K87" s="529"/>
      <c r="O87" s="352"/>
      <c r="AA87" s="352"/>
    </row>
    <row r="88" spans="11:27" s="351" customFormat="1">
      <c r="K88" s="529"/>
      <c r="O88" s="352"/>
      <c r="AA88" s="352"/>
    </row>
    <row r="89" spans="11:27" s="351" customFormat="1">
      <c r="K89" s="529"/>
      <c r="O89" s="352"/>
      <c r="AA89" s="352"/>
    </row>
    <row r="90" spans="11:27" s="351" customFormat="1">
      <c r="K90" s="529"/>
      <c r="O90" s="352"/>
      <c r="AA90" s="352"/>
    </row>
    <row r="91" spans="11:27" s="351" customFormat="1">
      <c r="K91" s="529"/>
      <c r="O91" s="352"/>
      <c r="AA91" s="352"/>
    </row>
    <row r="92" spans="11:27" s="351" customFormat="1">
      <c r="K92" s="529"/>
      <c r="O92" s="352"/>
      <c r="AA92" s="352"/>
    </row>
    <row r="93" spans="11:27" s="351" customFormat="1">
      <c r="K93" s="529"/>
      <c r="O93" s="352"/>
      <c r="AA93" s="352"/>
    </row>
    <row r="94" spans="11:27" s="351" customFormat="1">
      <c r="K94" s="529"/>
      <c r="O94" s="352"/>
      <c r="AA94" s="352"/>
    </row>
    <row r="95" spans="11:27" s="351" customFormat="1">
      <c r="K95" s="529"/>
      <c r="O95" s="352"/>
      <c r="AA95" s="352"/>
    </row>
    <row r="96" spans="11:27" s="351" customFormat="1">
      <c r="K96" s="529"/>
      <c r="O96" s="352"/>
      <c r="AA96" s="352"/>
    </row>
    <row r="97" spans="3:27" s="351" customFormat="1">
      <c r="K97" s="529"/>
      <c r="O97" s="352"/>
      <c r="AA97" s="352"/>
    </row>
    <row r="98" spans="3:27" s="351" customFormat="1">
      <c r="K98" s="529"/>
      <c r="O98" s="352"/>
      <c r="AA98" s="352"/>
    </row>
    <row r="99" spans="3:27" s="351" customFormat="1">
      <c r="K99" s="529"/>
      <c r="O99" s="352"/>
      <c r="AA99" s="352"/>
    </row>
    <row r="100" spans="3:27">
      <c r="C100" s="50"/>
      <c r="O100" s="353"/>
      <c r="AA100" s="353"/>
    </row>
    <row r="101" spans="3:27">
      <c r="C101" s="50"/>
      <c r="O101" s="353"/>
      <c r="AA101" s="353"/>
    </row>
    <row r="102" spans="3:27">
      <c r="C102" s="50"/>
      <c r="O102" s="353"/>
      <c r="AA102" s="353"/>
    </row>
    <row r="103" spans="3:27">
      <c r="C103" s="50"/>
      <c r="O103" s="353"/>
      <c r="AA103" s="353"/>
    </row>
    <row r="104" spans="3:27">
      <c r="C104" s="50"/>
      <c r="O104" s="353"/>
      <c r="AA104" s="353"/>
    </row>
    <row r="105" spans="3:27">
      <c r="C105" s="50"/>
      <c r="O105" s="353"/>
      <c r="AA105" s="353"/>
    </row>
    <row r="106" spans="3:27">
      <c r="C106" s="50"/>
      <c r="O106" s="353"/>
      <c r="AA106" s="353"/>
    </row>
    <row r="107" spans="3:27">
      <c r="C107" s="50"/>
      <c r="O107" s="353"/>
      <c r="AA107" s="353"/>
    </row>
    <row r="108" spans="3:27">
      <c r="C108" s="50"/>
      <c r="O108" s="353"/>
      <c r="AA108" s="353"/>
    </row>
    <row r="109" spans="3:27">
      <c r="C109" s="50"/>
      <c r="O109" s="353"/>
      <c r="AA109" s="353"/>
    </row>
    <row r="110" spans="3:27">
      <c r="C110" s="50"/>
      <c r="O110" s="353"/>
      <c r="AA110" s="353"/>
    </row>
    <row r="111" spans="3:27">
      <c r="C111" s="50"/>
      <c r="O111" s="353"/>
      <c r="AA111" s="353"/>
    </row>
    <row r="112" spans="3:27">
      <c r="C112" s="50"/>
      <c r="O112" s="353"/>
      <c r="AA112" s="353"/>
    </row>
    <row r="113" spans="3:27">
      <c r="C113" s="50"/>
      <c r="O113" s="353"/>
      <c r="AA113" s="353"/>
    </row>
    <row r="114" spans="3:27">
      <c r="C114" s="50"/>
      <c r="O114" s="353"/>
      <c r="AA114" s="353"/>
    </row>
    <row r="115" spans="3:27">
      <c r="C115" s="50"/>
      <c r="O115" s="353"/>
      <c r="AA115" s="353"/>
    </row>
    <row r="116" spans="3:27">
      <c r="C116" s="50"/>
      <c r="O116" s="353"/>
      <c r="AA116" s="353"/>
    </row>
    <row r="117" spans="3:27">
      <c r="C117" s="50"/>
      <c r="O117" s="353"/>
      <c r="AA117" s="353"/>
    </row>
    <row r="118" spans="3:27">
      <c r="C118" s="50"/>
      <c r="O118" s="353"/>
      <c r="AA118" s="353"/>
    </row>
    <row r="119" spans="3:27">
      <c r="C119" s="50"/>
      <c r="O119" s="353"/>
      <c r="AA119" s="353"/>
    </row>
    <row r="120" spans="3:27">
      <c r="C120" s="50"/>
      <c r="O120" s="353"/>
      <c r="AA120" s="353"/>
    </row>
    <row r="121" spans="3:27">
      <c r="C121" s="50"/>
      <c r="O121" s="353"/>
      <c r="AA121" s="353"/>
    </row>
    <row r="122" spans="3:27">
      <c r="C122" s="50"/>
      <c r="O122" s="353"/>
      <c r="AA122" s="353"/>
    </row>
    <row r="123" spans="3:27">
      <c r="C123" s="50"/>
      <c r="O123" s="353"/>
      <c r="AA123" s="353"/>
    </row>
    <row r="124" spans="3:27">
      <c r="C124" s="50"/>
      <c r="O124" s="353"/>
      <c r="AA124" s="353"/>
    </row>
    <row r="125" spans="3:27">
      <c r="C125" s="50"/>
      <c r="O125" s="353"/>
      <c r="AA125" s="353"/>
    </row>
    <row r="126" spans="3:27">
      <c r="C126" s="50"/>
      <c r="O126" s="353"/>
      <c r="AA126" s="353"/>
    </row>
    <row r="127" spans="3:27">
      <c r="C127" s="50"/>
      <c r="O127" s="353"/>
      <c r="AA127" s="353"/>
    </row>
    <row r="128" spans="3:27">
      <c r="C128" s="50"/>
      <c r="O128" s="353"/>
      <c r="AA128" s="353"/>
    </row>
    <row r="129" spans="3:27">
      <c r="C129" s="50"/>
      <c r="O129" s="353"/>
      <c r="AA129" s="353"/>
    </row>
    <row r="130" spans="3:27">
      <c r="C130" s="50"/>
      <c r="O130" s="353"/>
      <c r="AA130" s="353"/>
    </row>
    <row r="131" spans="3:27">
      <c r="C131" s="50"/>
      <c r="O131" s="353"/>
      <c r="AA131" s="353"/>
    </row>
    <row r="132" spans="3:27">
      <c r="C132" s="50"/>
      <c r="O132" s="353"/>
      <c r="AA132" s="353"/>
    </row>
    <row r="133" spans="3:27">
      <c r="C133" s="50"/>
      <c r="O133" s="353"/>
      <c r="AA133" s="353"/>
    </row>
    <row r="134" spans="3:27">
      <c r="C134" s="50"/>
      <c r="O134" s="353"/>
      <c r="AA134" s="353"/>
    </row>
    <row r="135" spans="3:27">
      <c r="C135" s="50"/>
      <c r="O135" s="353"/>
      <c r="AA135" s="353"/>
    </row>
    <row r="136" spans="3:27">
      <c r="C136" s="50"/>
      <c r="O136" s="353"/>
      <c r="AA136" s="353"/>
    </row>
    <row r="137" spans="3:27">
      <c r="C137" s="50"/>
      <c r="O137" s="353"/>
      <c r="AA137" s="353"/>
    </row>
    <row r="138" spans="3:27">
      <c r="C138" s="50"/>
      <c r="O138" s="353"/>
      <c r="AA138" s="353"/>
    </row>
    <row r="139" spans="3:27">
      <c r="C139" s="50"/>
      <c r="O139" s="353"/>
      <c r="AA139" s="353"/>
    </row>
    <row r="140" spans="3:27">
      <c r="C140" s="50"/>
      <c r="O140" s="353"/>
      <c r="AA140" s="353"/>
    </row>
    <row r="141" spans="3:27">
      <c r="C141" s="50"/>
      <c r="O141" s="353"/>
      <c r="AA141" s="353"/>
    </row>
    <row r="142" spans="3:27">
      <c r="C142" s="50"/>
      <c r="O142" s="353"/>
      <c r="AA142" s="353"/>
    </row>
    <row r="143" spans="3:27">
      <c r="C143" s="50"/>
      <c r="O143" s="353"/>
      <c r="AA143" s="353"/>
    </row>
    <row r="144" spans="3:27">
      <c r="C144" s="50"/>
      <c r="O144" s="353"/>
      <c r="AA144" s="353"/>
    </row>
    <row r="145" spans="3:27">
      <c r="C145" s="50"/>
      <c r="O145" s="353"/>
      <c r="AA145" s="353"/>
    </row>
    <row r="146" spans="3:27">
      <c r="C146" s="50"/>
      <c r="O146" s="353"/>
      <c r="AA146" s="353"/>
    </row>
    <row r="147" spans="3:27">
      <c r="C147" s="50"/>
      <c r="O147" s="353"/>
      <c r="AA147" s="353"/>
    </row>
    <row r="148" spans="3:27">
      <c r="C148" s="50"/>
      <c r="O148" s="353"/>
      <c r="AA148" s="353"/>
    </row>
    <row r="149" spans="3:27">
      <c r="C149" s="50"/>
      <c r="O149" s="353"/>
      <c r="AA149" s="353"/>
    </row>
    <row r="150" spans="3:27">
      <c r="C150" s="50"/>
      <c r="O150" s="353"/>
      <c r="AA150" s="353"/>
    </row>
    <row r="151" spans="3:27">
      <c r="C151" s="50"/>
      <c r="O151" s="353"/>
      <c r="AA151" s="353"/>
    </row>
    <row r="152" spans="3:27">
      <c r="C152" s="50"/>
      <c r="O152" s="353"/>
      <c r="AA152" s="353"/>
    </row>
    <row r="153" spans="3:27">
      <c r="C153" s="50"/>
      <c r="O153" s="353"/>
      <c r="AA153" s="353"/>
    </row>
    <row r="154" spans="3:27">
      <c r="C154" s="50"/>
      <c r="O154" s="353"/>
      <c r="AA154" s="353"/>
    </row>
    <row r="155" spans="3:27">
      <c r="C155" s="50"/>
      <c r="O155" s="353"/>
      <c r="AA155" s="353"/>
    </row>
    <row r="156" spans="3:27">
      <c r="C156" s="50"/>
      <c r="O156" s="353"/>
      <c r="AA156" s="353"/>
    </row>
    <row r="157" spans="3:27">
      <c r="C157" s="50"/>
      <c r="O157" s="353"/>
      <c r="AA157" s="353"/>
    </row>
    <row r="158" spans="3:27">
      <c r="C158" s="50"/>
      <c r="O158" s="353"/>
      <c r="AA158" s="353"/>
    </row>
    <row r="159" spans="3:27">
      <c r="C159" s="50"/>
      <c r="O159" s="353"/>
      <c r="AA159" s="353"/>
    </row>
    <row r="160" spans="3:27">
      <c r="C160" s="50"/>
      <c r="O160" s="353"/>
      <c r="AA160" s="353"/>
    </row>
    <row r="161" spans="3:27">
      <c r="C161" s="50"/>
      <c r="O161" s="353"/>
      <c r="AA161" s="353"/>
    </row>
    <row r="162" spans="3:27">
      <c r="C162" s="50"/>
      <c r="O162" s="353"/>
      <c r="AA162" s="353"/>
    </row>
    <row r="163" spans="3:27">
      <c r="C163" s="50"/>
      <c r="O163" s="353"/>
      <c r="AA163" s="353"/>
    </row>
    <row r="164" spans="3:27">
      <c r="C164" s="50"/>
      <c r="O164" s="353"/>
      <c r="AA164" s="353"/>
    </row>
    <row r="165" spans="3:27">
      <c r="C165" s="50"/>
      <c r="O165" s="353"/>
      <c r="AA165" s="353"/>
    </row>
    <row r="166" spans="3:27">
      <c r="C166" s="50"/>
      <c r="O166" s="353"/>
      <c r="AA166" s="353"/>
    </row>
    <row r="167" spans="3:27">
      <c r="C167" s="50"/>
      <c r="O167" s="353"/>
      <c r="AA167" s="353"/>
    </row>
    <row r="168" spans="3:27">
      <c r="C168" s="50"/>
      <c r="O168" s="353"/>
      <c r="AA168" s="353"/>
    </row>
    <row r="169" spans="3:27">
      <c r="C169" s="50"/>
      <c r="O169" s="353"/>
      <c r="AA169" s="353"/>
    </row>
    <row r="170" spans="3:27">
      <c r="C170" s="50"/>
      <c r="O170" s="353"/>
      <c r="AA170" s="353"/>
    </row>
    <row r="171" spans="3:27">
      <c r="C171" s="50"/>
      <c r="O171" s="353"/>
      <c r="AA171" s="353"/>
    </row>
    <row r="172" spans="3:27">
      <c r="C172" s="50"/>
      <c r="O172" s="353"/>
      <c r="AA172" s="353"/>
    </row>
    <row r="173" spans="3:27">
      <c r="C173" s="50"/>
      <c r="O173" s="353"/>
      <c r="AA173" s="353"/>
    </row>
    <row r="174" spans="3:27">
      <c r="C174" s="50"/>
      <c r="O174" s="353"/>
      <c r="AA174" s="353"/>
    </row>
    <row r="175" spans="3:27">
      <c r="C175" s="50"/>
      <c r="O175" s="353"/>
      <c r="AA175" s="353"/>
    </row>
    <row r="176" spans="3:27">
      <c r="C176" s="50"/>
      <c r="O176" s="353"/>
      <c r="AA176" s="353"/>
    </row>
    <row r="177" spans="3:27">
      <c r="C177" s="50"/>
      <c r="O177" s="353"/>
      <c r="AA177" s="353"/>
    </row>
    <row r="178" spans="3:27">
      <c r="C178" s="50"/>
      <c r="O178" s="353"/>
      <c r="AA178" s="353"/>
    </row>
    <row r="179" spans="3:27">
      <c r="C179" s="50"/>
      <c r="O179" s="353"/>
      <c r="AA179" s="353"/>
    </row>
    <row r="180" spans="3:27">
      <c r="C180" s="50"/>
      <c r="O180" s="353"/>
      <c r="AA180" s="353"/>
    </row>
    <row r="181" spans="3:27">
      <c r="C181" s="50"/>
      <c r="O181" s="353"/>
      <c r="AA181" s="353"/>
    </row>
    <row r="182" spans="3:27">
      <c r="C182" s="50"/>
      <c r="O182" s="353"/>
      <c r="AA182" s="353"/>
    </row>
    <row r="183" spans="3:27">
      <c r="C183" s="50"/>
      <c r="O183" s="353"/>
      <c r="AA183" s="353"/>
    </row>
    <row r="184" spans="3:27">
      <c r="C184" s="50"/>
      <c r="O184" s="353"/>
      <c r="AA184" s="353"/>
    </row>
    <row r="185" spans="3:27">
      <c r="C185" s="50"/>
      <c r="O185" s="353"/>
      <c r="AA185" s="353"/>
    </row>
    <row r="186" spans="3:27">
      <c r="C186" s="50"/>
      <c r="O186" s="353"/>
      <c r="AA186" s="353"/>
    </row>
    <row r="187" spans="3:27">
      <c r="C187" s="50"/>
      <c r="O187" s="353"/>
      <c r="AA187" s="353"/>
    </row>
    <row r="188" spans="3:27">
      <c r="C188" s="50"/>
      <c r="O188" s="353"/>
      <c r="AA188" s="353"/>
    </row>
    <row r="189" spans="3:27">
      <c r="C189" s="50"/>
      <c r="O189" s="353"/>
      <c r="AA189" s="353"/>
    </row>
    <row r="190" spans="3:27">
      <c r="C190" s="50"/>
      <c r="O190" s="353"/>
      <c r="AA190" s="353"/>
    </row>
    <row r="191" spans="3:27">
      <c r="C191" s="50"/>
      <c r="O191" s="353"/>
      <c r="AA191" s="353"/>
    </row>
    <row r="192" spans="3:27">
      <c r="C192" s="50"/>
      <c r="O192" s="353"/>
      <c r="AA192" s="353"/>
    </row>
    <row r="193" spans="3:27">
      <c r="C193" s="50"/>
      <c r="O193" s="353"/>
      <c r="AA193" s="353"/>
    </row>
    <row r="194" spans="3:27">
      <c r="C194" s="50"/>
      <c r="O194" s="353"/>
      <c r="AA194" s="353"/>
    </row>
    <row r="195" spans="3:27">
      <c r="C195" s="50"/>
      <c r="O195" s="353"/>
      <c r="AA195" s="353"/>
    </row>
    <row r="196" spans="3:27">
      <c r="C196" s="50"/>
      <c r="O196" s="353"/>
      <c r="AA196" s="353"/>
    </row>
    <row r="197" spans="3:27">
      <c r="C197" s="50"/>
      <c r="O197" s="353"/>
      <c r="AA197" s="353"/>
    </row>
    <row r="198" spans="3:27">
      <c r="C198" s="50"/>
      <c r="O198" s="353"/>
      <c r="AA198" s="353"/>
    </row>
    <row r="199" spans="3:27">
      <c r="C199" s="50"/>
      <c r="O199" s="353"/>
      <c r="AA199" s="353"/>
    </row>
    <row r="200" spans="3:27">
      <c r="C200" s="50"/>
      <c r="O200" s="353"/>
      <c r="AA200" s="353"/>
    </row>
    <row r="201" spans="3:27">
      <c r="C201" s="50"/>
      <c r="O201" s="353"/>
      <c r="AA201" s="353"/>
    </row>
    <row r="202" spans="3:27">
      <c r="C202" s="50"/>
      <c r="O202" s="353"/>
      <c r="AA202" s="353"/>
    </row>
    <row r="203" spans="3:27">
      <c r="C203" s="50"/>
      <c r="O203" s="353"/>
      <c r="AA203" s="353"/>
    </row>
    <row r="204" spans="3:27">
      <c r="C204" s="50"/>
      <c r="O204" s="353"/>
      <c r="AA204" s="353"/>
    </row>
    <row r="205" spans="3:27">
      <c r="C205" s="50"/>
      <c r="O205" s="353"/>
      <c r="AA205" s="353"/>
    </row>
    <row r="206" spans="3:27">
      <c r="C206" s="50"/>
      <c r="O206" s="353"/>
      <c r="AA206" s="353"/>
    </row>
    <row r="207" spans="3:27">
      <c r="C207" s="50"/>
      <c r="O207" s="353"/>
      <c r="AA207" s="353"/>
    </row>
    <row r="208" spans="3:27">
      <c r="C208" s="50"/>
      <c r="O208" s="353"/>
      <c r="AA208" s="353"/>
    </row>
    <row r="209" spans="3:27">
      <c r="C209" s="50"/>
      <c r="O209" s="353"/>
      <c r="AA209" s="353"/>
    </row>
    <row r="210" spans="3:27">
      <c r="C210" s="50"/>
      <c r="O210" s="353"/>
      <c r="AA210" s="353"/>
    </row>
    <row r="211" spans="3:27">
      <c r="C211" s="50"/>
      <c r="O211" s="353"/>
      <c r="AA211" s="353"/>
    </row>
    <row r="212" spans="3:27">
      <c r="C212" s="50"/>
      <c r="O212" s="353"/>
      <c r="AA212" s="353"/>
    </row>
    <row r="213" spans="3:27">
      <c r="C213" s="50"/>
      <c r="O213" s="353"/>
      <c r="AA213" s="353"/>
    </row>
    <row r="214" spans="3:27">
      <c r="C214" s="50"/>
      <c r="O214" s="353"/>
      <c r="AA214" s="353"/>
    </row>
    <row r="215" spans="3:27">
      <c r="C215" s="50"/>
      <c r="O215" s="353"/>
      <c r="AA215" s="353"/>
    </row>
    <row r="216" spans="3:27">
      <c r="C216" s="50"/>
      <c r="O216" s="353"/>
      <c r="AA216" s="353"/>
    </row>
    <row r="217" spans="3:27">
      <c r="C217" s="50"/>
      <c r="O217" s="353"/>
      <c r="AA217" s="353"/>
    </row>
    <row r="218" spans="3:27">
      <c r="C218" s="50"/>
      <c r="O218" s="353"/>
      <c r="AA218" s="353"/>
    </row>
    <row r="219" spans="3:27">
      <c r="C219" s="50"/>
      <c r="O219" s="353"/>
      <c r="AA219" s="353"/>
    </row>
    <row r="220" spans="3:27">
      <c r="C220" s="50"/>
      <c r="O220" s="353"/>
      <c r="AA220" s="353"/>
    </row>
    <row r="221" spans="3:27">
      <c r="C221" s="50"/>
      <c r="O221" s="353"/>
      <c r="AA221" s="353"/>
    </row>
    <row r="222" spans="3:27">
      <c r="C222" s="50"/>
      <c r="O222" s="353"/>
      <c r="AA222" s="353"/>
    </row>
    <row r="223" spans="3:27">
      <c r="C223" s="50"/>
      <c r="O223" s="353"/>
      <c r="AA223" s="353"/>
    </row>
    <row r="224" spans="3:27">
      <c r="C224" s="50"/>
      <c r="O224" s="353"/>
      <c r="AA224" s="353"/>
    </row>
    <row r="225" spans="3:27">
      <c r="C225" s="50"/>
      <c r="O225" s="353"/>
      <c r="AA225" s="353"/>
    </row>
    <row r="226" spans="3:27">
      <c r="C226" s="50"/>
      <c r="O226" s="353"/>
      <c r="AA226" s="353"/>
    </row>
    <row r="227" spans="3:27">
      <c r="C227" s="50"/>
      <c r="O227" s="353"/>
      <c r="AA227" s="353"/>
    </row>
    <row r="228" spans="3:27">
      <c r="C228" s="50"/>
      <c r="O228" s="353"/>
      <c r="AA228" s="353"/>
    </row>
    <row r="229" spans="3:27">
      <c r="C229" s="50"/>
      <c r="O229" s="353"/>
      <c r="AA229" s="353"/>
    </row>
    <row r="230" spans="3:27">
      <c r="C230" s="50"/>
      <c r="O230" s="353"/>
      <c r="AA230" s="353"/>
    </row>
    <row r="231" spans="3:27">
      <c r="C231" s="50"/>
      <c r="O231" s="353"/>
      <c r="AA231" s="353"/>
    </row>
    <row r="232" spans="3:27">
      <c r="C232" s="50"/>
      <c r="O232" s="353"/>
      <c r="AA232" s="353"/>
    </row>
    <row r="233" spans="3:27">
      <c r="C233" s="50"/>
      <c r="O233" s="353"/>
      <c r="AA233" s="353"/>
    </row>
    <row r="234" spans="3:27">
      <c r="C234" s="50"/>
      <c r="O234" s="353"/>
      <c r="AA234" s="353"/>
    </row>
    <row r="235" spans="3:27">
      <c r="C235" s="50"/>
      <c r="O235" s="353"/>
      <c r="AA235" s="353"/>
    </row>
    <row r="236" spans="3:27">
      <c r="C236" s="50"/>
      <c r="O236" s="353"/>
      <c r="AA236" s="353"/>
    </row>
    <row r="237" spans="3:27">
      <c r="C237" s="50"/>
      <c r="O237" s="353"/>
      <c r="AA237" s="353"/>
    </row>
    <row r="238" spans="3:27">
      <c r="C238" s="50"/>
      <c r="O238" s="353"/>
      <c r="AA238" s="353"/>
    </row>
    <row r="239" spans="3:27">
      <c r="C239" s="50"/>
      <c r="O239" s="353"/>
      <c r="AA239" s="353"/>
    </row>
    <row r="240" spans="3:27">
      <c r="C240" s="50"/>
      <c r="O240" s="353"/>
      <c r="AA240" s="353"/>
    </row>
    <row r="241" spans="3:27">
      <c r="C241" s="50"/>
      <c r="O241" s="353"/>
      <c r="AA241" s="353"/>
    </row>
    <row r="242" spans="3:27">
      <c r="C242" s="50"/>
      <c r="O242" s="353"/>
      <c r="AA242" s="353"/>
    </row>
    <row r="243" spans="3:27">
      <c r="C243" s="50"/>
      <c r="O243" s="353"/>
      <c r="AA243" s="353"/>
    </row>
    <row r="244" spans="3:27">
      <c r="C244" s="50"/>
      <c r="O244" s="353"/>
      <c r="AA244" s="353"/>
    </row>
    <row r="245" spans="3:27">
      <c r="C245" s="50"/>
      <c r="O245" s="353"/>
      <c r="AA245" s="353"/>
    </row>
    <row r="246" spans="3:27">
      <c r="C246" s="50"/>
      <c r="O246" s="353"/>
      <c r="AA246" s="353"/>
    </row>
    <row r="247" spans="3:27">
      <c r="C247" s="50"/>
      <c r="O247" s="353"/>
      <c r="AA247" s="353"/>
    </row>
    <row r="248" spans="3:27">
      <c r="C248" s="50"/>
      <c r="O248" s="353"/>
      <c r="AA248" s="353"/>
    </row>
    <row r="249" spans="3:27">
      <c r="C249" s="50"/>
      <c r="O249" s="353"/>
      <c r="AA249" s="353"/>
    </row>
    <row r="250" spans="3:27">
      <c r="C250" s="50"/>
      <c r="O250" s="353"/>
      <c r="AA250" s="353"/>
    </row>
    <row r="251" spans="3:27">
      <c r="C251" s="50"/>
      <c r="O251" s="353"/>
      <c r="AA251" s="353"/>
    </row>
    <row r="252" spans="3:27">
      <c r="C252" s="50"/>
      <c r="O252" s="353"/>
      <c r="AA252" s="353"/>
    </row>
    <row r="253" spans="3:27">
      <c r="C253" s="50"/>
      <c r="O253" s="353"/>
      <c r="AA253" s="353"/>
    </row>
    <row r="254" spans="3:27">
      <c r="C254" s="50"/>
      <c r="O254" s="353"/>
      <c r="AA254" s="353"/>
    </row>
    <row r="255" spans="3:27">
      <c r="C255" s="50"/>
      <c r="O255" s="353"/>
      <c r="AA255" s="353"/>
    </row>
    <row r="256" spans="3:27">
      <c r="C256" s="50"/>
      <c r="O256" s="353"/>
      <c r="AA256" s="353"/>
    </row>
    <row r="257" spans="3:27">
      <c r="C257" s="50"/>
      <c r="O257" s="353"/>
      <c r="AA257" s="353"/>
    </row>
    <row r="258" spans="3:27">
      <c r="C258" s="50"/>
      <c r="O258" s="353"/>
      <c r="AA258" s="353"/>
    </row>
    <row r="259" spans="3:27">
      <c r="C259" s="50"/>
      <c r="O259" s="353"/>
      <c r="AA259" s="353"/>
    </row>
    <row r="260" spans="3:27">
      <c r="C260" s="50"/>
      <c r="O260" s="353"/>
      <c r="AA260" s="353"/>
    </row>
    <row r="261" spans="3:27">
      <c r="C261" s="50"/>
      <c r="O261" s="353"/>
      <c r="AA261" s="353"/>
    </row>
    <row r="262" spans="3:27">
      <c r="C262" s="50"/>
      <c r="O262" s="353"/>
      <c r="AA262" s="353"/>
    </row>
    <row r="263" spans="3:27">
      <c r="C263" s="50"/>
      <c r="O263" s="353"/>
      <c r="AA263" s="353"/>
    </row>
    <row r="264" spans="3:27">
      <c r="C264" s="50"/>
      <c r="O264" s="353"/>
      <c r="AA264" s="353"/>
    </row>
    <row r="265" spans="3:27">
      <c r="C265" s="50"/>
      <c r="O265" s="353"/>
      <c r="AA265" s="353"/>
    </row>
    <row r="266" spans="3:27">
      <c r="C266" s="50"/>
      <c r="O266" s="353"/>
      <c r="AA266" s="353"/>
    </row>
    <row r="267" spans="3:27">
      <c r="C267" s="50"/>
      <c r="O267" s="353"/>
      <c r="AA267" s="353"/>
    </row>
    <row r="268" spans="3:27">
      <c r="C268" s="50"/>
      <c r="O268" s="353"/>
      <c r="AA268" s="353"/>
    </row>
    <row r="269" spans="3:27">
      <c r="C269" s="50"/>
      <c r="O269" s="353"/>
      <c r="AA269" s="353"/>
    </row>
    <row r="270" spans="3:27">
      <c r="C270" s="50"/>
      <c r="O270" s="353"/>
      <c r="AA270" s="353"/>
    </row>
    <row r="271" spans="3:27">
      <c r="C271" s="50"/>
      <c r="O271" s="353"/>
      <c r="AA271" s="353"/>
    </row>
    <row r="272" spans="3:27">
      <c r="C272" s="50"/>
      <c r="O272" s="353"/>
      <c r="AA272" s="353"/>
    </row>
    <row r="273" spans="3:27">
      <c r="C273" s="50"/>
      <c r="O273" s="353"/>
      <c r="AA273" s="353"/>
    </row>
    <row r="274" spans="3:27">
      <c r="C274" s="50"/>
      <c r="O274" s="353"/>
      <c r="AA274" s="353"/>
    </row>
    <row r="275" spans="3:27">
      <c r="C275" s="50"/>
      <c r="O275" s="353"/>
      <c r="AA275" s="353"/>
    </row>
    <row r="276" spans="3:27">
      <c r="C276" s="50"/>
      <c r="O276" s="353"/>
      <c r="AA276" s="353"/>
    </row>
    <row r="277" spans="3:27">
      <c r="C277" s="50"/>
      <c r="O277" s="353"/>
      <c r="AA277" s="353"/>
    </row>
    <row r="278" spans="3:27">
      <c r="C278" s="50"/>
      <c r="O278" s="353"/>
      <c r="AA278" s="353"/>
    </row>
    <row r="279" spans="3:27">
      <c r="C279" s="50"/>
      <c r="O279" s="353"/>
      <c r="AA279" s="353"/>
    </row>
    <row r="280" spans="3:27">
      <c r="C280" s="50"/>
      <c r="O280" s="353"/>
      <c r="AA280" s="353"/>
    </row>
    <row r="281" spans="3:27">
      <c r="C281" s="50"/>
      <c r="O281" s="353"/>
      <c r="AA281" s="353"/>
    </row>
    <row r="282" spans="3:27">
      <c r="C282" s="50"/>
      <c r="O282" s="353"/>
      <c r="AA282" s="353"/>
    </row>
    <row r="283" spans="3:27">
      <c r="C283" s="50"/>
      <c r="O283" s="353"/>
      <c r="AA283" s="353"/>
    </row>
    <row r="284" spans="3:27">
      <c r="C284" s="50"/>
      <c r="O284" s="353"/>
      <c r="AA284" s="353"/>
    </row>
    <row r="285" spans="3:27">
      <c r="C285" s="50"/>
      <c r="O285" s="353"/>
      <c r="AA285" s="353"/>
    </row>
    <row r="286" spans="3:27">
      <c r="C286" s="50"/>
      <c r="O286" s="353"/>
      <c r="AA286" s="353"/>
    </row>
    <row r="287" spans="3:27">
      <c r="C287" s="50"/>
      <c r="O287" s="353"/>
      <c r="AA287" s="353"/>
    </row>
    <row r="288" spans="3:27">
      <c r="C288" s="50"/>
      <c r="O288" s="353"/>
      <c r="AA288" s="353"/>
    </row>
    <row r="289" spans="3:27">
      <c r="C289" s="50"/>
      <c r="O289" s="353"/>
      <c r="AA289" s="353"/>
    </row>
    <row r="290" spans="3:27">
      <c r="C290" s="50"/>
      <c r="O290" s="353"/>
      <c r="AA290" s="353"/>
    </row>
    <row r="291" spans="3:27">
      <c r="C291" s="50"/>
      <c r="O291" s="353"/>
      <c r="AA291" s="353"/>
    </row>
    <row r="292" spans="3:27">
      <c r="C292" s="50"/>
      <c r="O292" s="353"/>
      <c r="AA292" s="353"/>
    </row>
    <row r="293" spans="3:27">
      <c r="C293" s="50"/>
      <c r="O293" s="353"/>
      <c r="AA293" s="353"/>
    </row>
    <row r="294" spans="3:27">
      <c r="C294" s="50"/>
      <c r="O294" s="353"/>
      <c r="AA294" s="353"/>
    </row>
    <row r="295" spans="3:27">
      <c r="C295" s="50"/>
      <c r="O295" s="353"/>
      <c r="AA295" s="353"/>
    </row>
    <row r="296" spans="3:27">
      <c r="C296" s="50"/>
      <c r="O296" s="353"/>
      <c r="AA296" s="353"/>
    </row>
    <row r="297" spans="3:27">
      <c r="C297" s="50"/>
      <c r="O297" s="353"/>
      <c r="AA297" s="353"/>
    </row>
    <row r="298" spans="3:27">
      <c r="C298" s="50"/>
      <c r="O298" s="353"/>
      <c r="AA298" s="353"/>
    </row>
    <row r="299" spans="3:27">
      <c r="C299" s="50"/>
      <c r="O299" s="353"/>
      <c r="AA299" s="353"/>
    </row>
    <row r="300" spans="3:27">
      <c r="C300" s="50"/>
      <c r="O300" s="353"/>
      <c r="AA300" s="353"/>
    </row>
    <row r="301" spans="3:27">
      <c r="C301" s="50"/>
      <c r="O301" s="353"/>
      <c r="AA301" s="353"/>
    </row>
    <row r="302" spans="3:27">
      <c r="C302" s="50"/>
      <c r="O302" s="353"/>
      <c r="AA302" s="353"/>
    </row>
    <row r="303" spans="3:27">
      <c r="C303" s="50"/>
      <c r="O303" s="353"/>
      <c r="AA303" s="353"/>
    </row>
    <row r="304" spans="3:27">
      <c r="C304" s="50"/>
      <c r="O304" s="353"/>
      <c r="AA304" s="353"/>
    </row>
    <row r="305" spans="3:27">
      <c r="C305" s="50"/>
      <c r="O305" s="353"/>
      <c r="AA305" s="353"/>
    </row>
    <row r="306" spans="3:27">
      <c r="C306" s="50"/>
      <c r="O306" s="353"/>
      <c r="AA306" s="353"/>
    </row>
    <row r="307" spans="3:27">
      <c r="C307" s="50"/>
      <c r="O307" s="353"/>
      <c r="AA307" s="353"/>
    </row>
    <row r="308" spans="3:27">
      <c r="C308" s="50"/>
      <c r="O308" s="353"/>
      <c r="AA308" s="353"/>
    </row>
    <row r="309" spans="3:27">
      <c r="C309" s="50"/>
      <c r="O309" s="353"/>
      <c r="AA309" s="353"/>
    </row>
    <row r="310" spans="3:27">
      <c r="C310" s="50"/>
      <c r="O310" s="353"/>
      <c r="AA310" s="353"/>
    </row>
    <row r="311" spans="3:27">
      <c r="C311" s="50"/>
      <c r="O311" s="353"/>
      <c r="AA311" s="353"/>
    </row>
    <row r="312" spans="3:27">
      <c r="C312" s="50"/>
      <c r="O312" s="353"/>
      <c r="AA312" s="353"/>
    </row>
    <row r="313" spans="3:27">
      <c r="C313" s="50"/>
      <c r="O313" s="353"/>
      <c r="AA313" s="353"/>
    </row>
    <row r="314" spans="3:27">
      <c r="C314" s="50"/>
      <c r="O314" s="353"/>
      <c r="AA314" s="353"/>
    </row>
    <row r="315" spans="3:27">
      <c r="C315" s="50"/>
      <c r="O315" s="353"/>
      <c r="AA315" s="353"/>
    </row>
    <row r="316" spans="3:27">
      <c r="C316" s="50"/>
      <c r="O316" s="353"/>
      <c r="AA316" s="353"/>
    </row>
    <row r="317" spans="3:27">
      <c r="C317" s="50"/>
      <c r="O317" s="353"/>
      <c r="AA317" s="353"/>
    </row>
    <row r="318" spans="3:27">
      <c r="C318" s="50"/>
      <c r="O318" s="353"/>
      <c r="AA318" s="353"/>
    </row>
    <row r="319" spans="3:27">
      <c r="C319" s="50"/>
      <c r="O319" s="353"/>
      <c r="AA319" s="353"/>
    </row>
    <row r="320" spans="3:27">
      <c r="C320" s="50"/>
      <c r="O320" s="353"/>
      <c r="AA320" s="353"/>
    </row>
    <row r="321" spans="3:27">
      <c r="C321" s="50"/>
      <c r="O321" s="353"/>
      <c r="AA321" s="353"/>
    </row>
    <row r="322" spans="3:27">
      <c r="C322" s="50"/>
      <c r="O322" s="353"/>
      <c r="AA322" s="353"/>
    </row>
    <row r="323" spans="3:27">
      <c r="C323" s="50"/>
      <c r="O323" s="353"/>
      <c r="AA323" s="353"/>
    </row>
    <row r="324" spans="3:27">
      <c r="C324" s="50"/>
      <c r="O324" s="353"/>
      <c r="AA324" s="353"/>
    </row>
    <row r="325" spans="3:27">
      <c r="C325" s="50"/>
      <c r="O325" s="353"/>
      <c r="AA325" s="353"/>
    </row>
    <row r="326" spans="3:27">
      <c r="C326" s="50"/>
      <c r="O326" s="353"/>
      <c r="AA326" s="353"/>
    </row>
    <row r="327" spans="3:27">
      <c r="C327" s="50"/>
      <c r="O327" s="353"/>
      <c r="AA327" s="353"/>
    </row>
    <row r="328" spans="3:27">
      <c r="C328" s="50"/>
      <c r="O328" s="353"/>
      <c r="AA328" s="353"/>
    </row>
    <row r="329" spans="3:27">
      <c r="C329" s="50"/>
      <c r="O329" s="353"/>
      <c r="AA329" s="353"/>
    </row>
    <row r="330" spans="3:27">
      <c r="C330" s="50"/>
      <c r="O330" s="353"/>
      <c r="AA330" s="353"/>
    </row>
    <row r="331" spans="3:27">
      <c r="C331" s="50"/>
      <c r="O331" s="353"/>
      <c r="AA331" s="353"/>
    </row>
    <row r="332" spans="3:27">
      <c r="C332" s="50"/>
      <c r="O332" s="353"/>
      <c r="AA332" s="353"/>
    </row>
    <row r="333" spans="3:27">
      <c r="C333" s="50"/>
      <c r="O333" s="353"/>
      <c r="AA333" s="353"/>
    </row>
    <row r="334" spans="3:27">
      <c r="C334" s="50"/>
      <c r="O334" s="353"/>
      <c r="AA334" s="353"/>
    </row>
    <row r="335" spans="3:27">
      <c r="C335" s="50"/>
      <c r="O335" s="353"/>
      <c r="AA335" s="353"/>
    </row>
    <row r="336" spans="3:27">
      <c r="C336" s="50"/>
      <c r="O336" s="353"/>
      <c r="AA336" s="353"/>
    </row>
    <row r="337" spans="3:27">
      <c r="C337" s="50"/>
      <c r="O337" s="353"/>
      <c r="AA337" s="353"/>
    </row>
    <row r="338" spans="3:27">
      <c r="C338" s="50"/>
      <c r="O338" s="353"/>
      <c r="AA338" s="353"/>
    </row>
    <row r="339" spans="3:27">
      <c r="C339" s="50"/>
      <c r="O339" s="353"/>
      <c r="AA339" s="353"/>
    </row>
    <row r="340" spans="3:27">
      <c r="C340" s="50"/>
      <c r="O340" s="353"/>
      <c r="AA340" s="353"/>
    </row>
    <row r="341" spans="3:27">
      <c r="C341" s="50"/>
      <c r="O341" s="353"/>
      <c r="AA341" s="353"/>
    </row>
    <row r="342" spans="3:27">
      <c r="C342" s="50"/>
      <c r="O342" s="353"/>
      <c r="AA342" s="353"/>
    </row>
    <row r="343" spans="3:27">
      <c r="C343" s="50"/>
      <c r="O343" s="353"/>
      <c r="AA343" s="353"/>
    </row>
    <row r="344" spans="3:27">
      <c r="C344" s="50"/>
      <c r="O344" s="353"/>
      <c r="AA344" s="353"/>
    </row>
    <row r="345" spans="3:27">
      <c r="C345" s="50"/>
      <c r="O345" s="353"/>
      <c r="AA345" s="353"/>
    </row>
    <row r="346" spans="3:27">
      <c r="C346" s="50"/>
      <c r="O346" s="353"/>
      <c r="AA346" s="353"/>
    </row>
    <row r="347" spans="3:27">
      <c r="C347" s="50"/>
      <c r="O347" s="353"/>
      <c r="AA347" s="353"/>
    </row>
    <row r="348" spans="3:27">
      <c r="C348" s="50"/>
      <c r="O348" s="353"/>
      <c r="AA348" s="353"/>
    </row>
    <row r="349" spans="3:27">
      <c r="C349" s="50"/>
      <c r="O349" s="353"/>
      <c r="AA349" s="353"/>
    </row>
    <row r="350" spans="3:27">
      <c r="C350" s="50"/>
      <c r="O350" s="353"/>
      <c r="AA350" s="353"/>
    </row>
    <row r="351" spans="3:27">
      <c r="C351" s="50"/>
      <c r="O351" s="353"/>
      <c r="AA351" s="353"/>
    </row>
    <row r="352" spans="3:27">
      <c r="C352" s="50"/>
      <c r="O352" s="353"/>
      <c r="AA352" s="353"/>
    </row>
    <row r="353" spans="3:27">
      <c r="C353" s="50"/>
      <c r="O353" s="353"/>
      <c r="AA353" s="353"/>
    </row>
    <row r="354" spans="3:27">
      <c r="C354" s="50"/>
      <c r="O354" s="353"/>
      <c r="AA354" s="353"/>
    </row>
    <row r="355" spans="3:27">
      <c r="C355" s="50"/>
      <c r="O355" s="353"/>
      <c r="AA355" s="353"/>
    </row>
    <row r="356" spans="3:27">
      <c r="C356" s="50"/>
      <c r="O356" s="353"/>
      <c r="AA356" s="353"/>
    </row>
    <row r="357" spans="3:27">
      <c r="C357" s="50"/>
      <c r="O357" s="353"/>
      <c r="AA357" s="353"/>
    </row>
    <row r="358" spans="3:27">
      <c r="C358" s="50"/>
      <c r="O358" s="353"/>
      <c r="AA358" s="353"/>
    </row>
    <row r="359" spans="3:27">
      <c r="C359" s="50"/>
      <c r="O359" s="353"/>
      <c r="AA359" s="353"/>
    </row>
    <row r="360" spans="3:27">
      <c r="C360" s="50"/>
      <c r="O360" s="353"/>
      <c r="AA360" s="353"/>
    </row>
    <row r="361" spans="3:27">
      <c r="C361" s="50"/>
      <c r="O361" s="353"/>
      <c r="AA361" s="353"/>
    </row>
    <row r="362" spans="3:27">
      <c r="C362" s="50"/>
      <c r="O362" s="353"/>
      <c r="AA362" s="353"/>
    </row>
    <row r="363" spans="3:27">
      <c r="C363" s="50"/>
      <c r="O363" s="353"/>
      <c r="AA363" s="353"/>
    </row>
    <row r="364" spans="3:27">
      <c r="C364" s="50"/>
      <c r="O364" s="353"/>
      <c r="AA364" s="353"/>
    </row>
    <row r="365" spans="3:27">
      <c r="C365" s="50"/>
      <c r="O365" s="353"/>
      <c r="AA365" s="353"/>
    </row>
    <row r="366" spans="3:27">
      <c r="C366" s="50"/>
      <c r="O366" s="353"/>
      <c r="AA366" s="353"/>
    </row>
    <row r="367" spans="3:27">
      <c r="C367" s="50"/>
      <c r="O367" s="353"/>
      <c r="AA367" s="353"/>
    </row>
    <row r="368" spans="3:27">
      <c r="C368" s="50"/>
      <c r="O368" s="353"/>
      <c r="AA368" s="353"/>
    </row>
    <row r="369" spans="3:27">
      <c r="C369" s="50"/>
      <c r="O369" s="353"/>
      <c r="AA369" s="353"/>
    </row>
    <row r="370" spans="3:27">
      <c r="C370" s="50"/>
      <c r="O370" s="353"/>
      <c r="AA370" s="353"/>
    </row>
    <row r="371" spans="3:27">
      <c r="C371" s="50"/>
      <c r="O371" s="353"/>
      <c r="AA371" s="353"/>
    </row>
    <row r="372" spans="3:27">
      <c r="C372" s="50"/>
      <c r="O372" s="353"/>
      <c r="AA372" s="353"/>
    </row>
    <row r="373" spans="3:27">
      <c r="C373" s="50"/>
      <c r="O373" s="353"/>
      <c r="AA373" s="353"/>
    </row>
    <row r="374" spans="3:27">
      <c r="C374" s="50"/>
      <c r="O374" s="353"/>
      <c r="AA374" s="353"/>
    </row>
    <row r="375" spans="3:27">
      <c r="C375" s="50"/>
      <c r="O375" s="353"/>
      <c r="AA375" s="353"/>
    </row>
    <row r="376" spans="3:27">
      <c r="C376" s="50"/>
      <c r="O376" s="353"/>
      <c r="AA376" s="353"/>
    </row>
    <row r="377" spans="3:27">
      <c r="C377" s="50"/>
      <c r="O377" s="353"/>
      <c r="AA377" s="353"/>
    </row>
    <row r="378" spans="3:27">
      <c r="C378" s="50"/>
      <c r="O378" s="353"/>
      <c r="AA378" s="353"/>
    </row>
    <row r="379" spans="3:27">
      <c r="C379" s="50"/>
      <c r="O379" s="353"/>
      <c r="AA379" s="353"/>
    </row>
    <row r="380" spans="3:27">
      <c r="C380" s="50"/>
      <c r="O380" s="353"/>
      <c r="AA380" s="353"/>
    </row>
    <row r="381" spans="3:27">
      <c r="C381" s="50"/>
      <c r="O381" s="353"/>
      <c r="AA381" s="353"/>
    </row>
    <row r="382" spans="3:27">
      <c r="C382" s="50"/>
      <c r="O382" s="353"/>
      <c r="AA382" s="353"/>
    </row>
    <row r="383" spans="3:27">
      <c r="C383" s="50"/>
      <c r="O383" s="353"/>
      <c r="AA383" s="353"/>
    </row>
    <row r="384" spans="3:27">
      <c r="C384" s="50"/>
      <c r="O384" s="353"/>
      <c r="AA384" s="353"/>
    </row>
    <row r="385" spans="3:27">
      <c r="C385" s="50"/>
      <c r="O385" s="353"/>
      <c r="AA385" s="353"/>
    </row>
    <row r="386" spans="3:27">
      <c r="C386" s="50"/>
      <c r="O386" s="353"/>
      <c r="AA386" s="353"/>
    </row>
    <row r="387" spans="3:27">
      <c r="C387" s="50"/>
      <c r="O387" s="353"/>
      <c r="AA387" s="353"/>
    </row>
    <row r="388" spans="3:27">
      <c r="C388" s="50"/>
      <c r="O388" s="353"/>
      <c r="AA388" s="353"/>
    </row>
    <row r="389" spans="3:27">
      <c r="C389" s="50"/>
      <c r="O389" s="353"/>
      <c r="AA389" s="353"/>
    </row>
    <row r="390" spans="3:27">
      <c r="C390" s="50"/>
      <c r="O390" s="353"/>
      <c r="AA390" s="353"/>
    </row>
    <row r="391" spans="3:27">
      <c r="C391" s="50"/>
      <c r="O391" s="353"/>
      <c r="AA391" s="353"/>
    </row>
    <row r="392" spans="3:27">
      <c r="C392" s="50"/>
      <c r="O392" s="353"/>
      <c r="AA392" s="353"/>
    </row>
    <row r="393" spans="3:27">
      <c r="C393" s="50"/>
      <c r="O393" s="353"/>
      <c r="AA393" s="353"/>
    </row>
    <row r="394" spans="3:27">
      <c r="C394" s="50"/>
      <c r="O394" s="353"/>
      <c r="AA394" s="353"/>
    </row>
    <row r="395" spans="3:27">
      <c r="C395" s="50"/>
      <c r="O395" s="353"/>
      <c r="AA395" s="353"/>
    </row>
    <row r="396" spans="3:27">
      <c r="C396" s="50"/>
      <c r="O396" s="353"/>
      <c r="AA396" s="353"/>
    </row>
    <row r="397" spans="3:27">
      <c r="C397" s="50"/>
      <c r="O397" s="353"/>
      <c r="AA397" s="353"/>
    </row>
    <row r="398" spans="3:27">
      <c r="C398" s="50"/>
      <c r="O398" s="353"/>
      <c r="AA398" s="353"/>
    </row>
    <row r="399" spans="3:27">
      <c r="C399" s="50"/>
      <c r="O399" s="353"/>
      <c r="AA399" s="353"/>
    </row>
    <row r="400" spans="3:27">
      <c r="C400" s="50"/>
      <c r="O400" s="353"/>
      <c r="AA400" s="353"/>
    </row>
    <row r="401" spans="3:27">
      <c r="C401" s="50"/>
      <c r="O401" s="353"/>
      <c r="AA401" s="353"/>
    </row>
    <row r="402" spans="3:27">
      <c r="C402" s="50"/>
      <c r="O402" s="353"/>
      <c r="AA402" s="353"/>
    </row>
    <row r="403" spans="3:27">
      <c r="C403" s="50"/>
      <c r="O403" s="353"/>
      <c r="AA403" s="353"/>
    </row>
    <row r="404" spans="3:27">
      <c r="C404" s="50"/>
      <c r="O404" s="353"/>
      <c r="AA404" s="353"/>
    </row>
    <row r="405" spans="3:27">
      <c r="C405" s="50"/>
      <c r="O405" s="353"/>
      <c r="AA405" s="353"/>
    </row>
    <row r="406" spans="3:27">
      <c r="C406" s="50"/>
      <c r="O406" s="353"/>
      <c r="AA406" s="353"/>
    </row>
    <row r="407" spans="3:27">
      <c r="C407" s="50"/>
      <c r="O407" s="353"/>
      <c r="AA407" s="353"/>
    </row>
    <row r="408" spans="3:27">
      <c r="C408" s="50"/>
      <c r="O408" s="353"/>
      <c r="AA408" s="353"/>
    </row>
    <row r="409" spans="3:27">
      <c r="C409" s="50"/>
      <c r="O409" s="353"/>
      <c r="AA409" s="353"/>
    </row>
    <row r="410" spans="3:27">
      <c r="C410" s="50"/>
      <c r="O410" s="353"/>
      <c r="AA410" s="353"/>
    </row>
    <row r="411" spans="3:27">
      <c r="C411" s="50"/>
      <c r="O411" s="353"/>
      <c r="AA411" s="353"/>
    </row>
    <row r="412" spans="3:27">
      <c r="C412" s="50"/>
      <c r="O412" s="353"/>
      <c r="AA412" s="353"/>
    </row>
    <row r="413" spans="3:27">
      <c r="C413" s="50"/>
      <c r="O413" s="353"/>
      <c r="AA413" s="353"/>
    </row>
    <row r="414" spans="3:27">
      <c r="C414" s="50"/>
      <c r="O414" s="353"/>
      <c r="AA414" s="353"/>
    </row>
    <row r="415" spans="3:27">
      <c r="C415" s="50"/>
      <c r="O415" s="353"/>
      <c r="AA415" s="353"/>
    </row>
    <row r="416" spans="3:27">
      <c r="C416" s="50"/>
      <c r="O416" s="353"/>
      <c r="AA416" s="353"/>
    </row>
    <row r="417" spans="3:27">
      <c r="C417" s="50"/>
      <c r="O417" s="353"/>
      <c r="AA417" s="353"/>
    </row>
    <row r="418" spans="3:27">
      <c r="C418" s="50"/>
      <c r="O418" s="353"/>
      <c r="AA418" s="353"/>
    </row>
    <row r="419" spans="3:27">
      <c r="C419" s="50"/>
      <c r="O419" s="353"/>
      <c r="AA419" s="353"/>
    </row>
    <row r="420" spans="3:27">
      <c r="C420" s="50"/>
      <c r="O420" s="353"/>
      <c r="AA420" s="353"/>
    </row>
    <row r="421" spans="3:27">
      <c r="C421" s="50"/>
      <c r="O421" s="353"/>
      <c r="AA421" s="353"/>
    </row>
    <row r="422" spans="3:27">
      <c r="C422" s="50"/>
      <c r="O422" s="353"/>
      <c r="AA422" s="353"/>
    </row>
    <row r="423" spans="3:27">
      <c r="C423" s="50"/>
      <c r="O423" s="353"/>
      <c r="AA423" s="353"/>
    </row>
    <row r="424" spans="3:27">
      <c r="C424" s="50"/>
      <c r="O424" s="353"/>
      <c r="AA424" s="353"/>
    </row>
    <row r="425" spans="3:27">
      <c r="C425" s="50"/>
      <c r="O425" s="353"/>
      <c r="AA425" s="353"/>
    </row>
    <row r="426" spans="3:27">
      <c r="C426" s="50"/>
      <c r="O426" s="353"/>
      <c r="AA426" s="353"/>
    </row>
    <row r="427" spans="3:27">
      <c r="C427" s="50"/>
      <c r="O427" s="353"/>
      <c r="AA427" s="353"/>
    </row>
    <row r="428" spans="3:27">
      <c r="C428" s="50"/>
      <c r="O428" s="353"/>
      <c r="AA428" s="353"/>
    </row>
    <row r="429" spans="3:27">
      <c r="C429" s="50"/>
      <c r="O429" s="353"/>
      <c r="AA429" s="353"/>
    </row>
    <row r="430" spans="3:27">
      <c r="C430" s="50"/>
      <c r="O430" s="353"/>
      <c r="AA430" s="353"/>
    </row>
    <row r="431" spans="3:27">
      <c r="C431" s="50"/>
      <c r="O431" s="353"/>
      <c r="AA431" s="353"/>
    </row>
    <row r="432" spans="3:27">
      <c r="C432" s="50"/>
      <c r="O432" s="353"/>
      <c r="AA432" s="353"/>
    </row>
    <row r="433" spans="3:27">
      <c r="C433" s="50"/>
      <c r="O433" s="353"/>
      <c r="AA433" s="353"/>
    </row>
    <row r="434" spans="3:27">
      <c r="C434" s="50"/>
      <c r="O434" s="353"/>
      <c r="AA434" s="353"/>
    </row>
    <row r="435" spans="3:27">
      <c r="C435" s="50"/>
      <c r="O435" s="353"/>
      <c r="AA435" s="353"/>
    </row>
    <row r="436" spans="3:27">
      <c r="C436" s="50"/>
      <c r="O436" s="353"/>
      <c r="AA436" s="353"/>
    </row>
    <row r="437" spans="3:27">
      <c r="C437" s="50"/>
      <c r="O437" s="353"/>
      <c r="AA437" s="353"/>
    </row>
    <row r="438" spans="3:27">
      <c r="C438" s="50"/>
      <c r="O438" s="353"/>
      <c r="AA438" s="353"/>
    </row>
    <row r="439" spans="3:27">
      <c r="C439" s="50"/>
      <c r="O439" s="353"/>
      <c r="AA439" s="353"/>
    </row>
    <row r="440" spans="3:27">
      <c r="C440" s="50"/>
      <c r="O440" s="353"/>
      <c r="AA440" s="353"/>
    </row>
    <row r="441" spans="3:27">
      <c r="C441" s="50"/>
      <c r="O441" s="353"/>
      <c r="AA441" s="353"/>
    </row>
    <row r="442" spans="3:27">
      <c r="C442" s="50"/>
      <c r="O442" s="353"/>
      <c r="AA442" s="353"/>
    </row>
    <row r="443" spans="3:27">
      <c r="C443" s="50"/>
      <c r="O443" s="353"/>
      <c r="AA443" s="353"/>
    </row>
    <row r="444" spans="3:27">
      <c r="C444" s="50"/>
      <c r="O444" s="353"/>
      <c r="AA444" s="353"/>
    </row>
    <row r="445" spans="3:27">
      <c r="C445" s="50"/>
      <c r="O445" s="353"/>
      <c r="AA445" s="353"/>
    </row>
    <row r="446" spans="3:27">
      <c r="C446" s="50"/>
      <c r="O446" s="353"/>
      <c r="AA446" s="353"/>
    </row>
    <row r="447" spans="3:27">
      <c r="C447" s="50"/>
      <c r="O447" s="353"/>
      <c r="AA447" s="353"/>
    </row>
    <row r="448" spans="3:27">
      <c r="C448" s="50"/>
      <c r="O448" s="353"/>
      <c r="AA448" s="353"/>
    </row>
    <row r="449" spans="3:27">
      <c r="C449" s="50"/>
      <c r="O449" s="353"/>
      <c r="AA449" s="353"/>
    </row>
    <row r="450" spans="3:27">
      <c r="C450" s="50"/>
      <c r="O450" s="353"/>
      <c r="AA450" s="353"/>
    </row>
    <row r="451" spans="3:27">
      <c r="C451" s="50"/>
      <c r="O451" s="353"/>
      <c r="AA451" s="353"/>
    </row>
    <row r="452" spans="3:27">
      <c r="C452" s="50"/>
      <c r="O452" s="353"/>
      <c r="AA452" s="353"/>
    </row>
    <row r="453" spans="3:27">
      <c r="C453" s="50"/>
      <c r="O453" s="353"/>
      <c r="AA453" s="353"/>
    </row>
    <row r="454" spans="3:27">
      <c r="C454" s="50"/>
      <c r="O454" s="353"/>
      <c r="AA454" s="353"/>
    </row>
    <row r="455" spans="3:27">
      <c r="C455" s="50"/>
      <c r="O455" s="353"/>
      <c r="AA455" s="353"/>
    </row>
    <row r="456" spans="3:27">
      <c r="C456" s="50"/>
      <c r="O456" s="353"/>
      <c r="AA456" s="353"/>
    </row>
    <row r="457" spans="3:27">
      <c r="C457" s="50"/>
      <c r="O457" s="353"/>
      <c r="AA457" s="353"/>
    </row>
    <row r="458" spans="3:27">
      <c r="C458" s="50"/>
      <c r="O458" s="353"/>
      <c r="AA458" s="353"/>
    </row>
    <row r="459" spans="3:27">
      <c r="C459" s="50"/>
      <c r="O459" s="353"/>
      <c r="AA459" s="353"/>
    </row>
    <row r="460" spans="3:27">
      <c r="C460" s="50"/>
      <c r="O460" s="353"/>
      <c r="AA460" s="353"/>
    </row>
    <row r="461" spans="3:27">
      <c r="C461" s="50"/>
      <c r="O461" s="353"/>
      <c r="AA461" s="353"/>
    </row>
    <row r="462" spans="3:27">
      <c r="C462" s="50"/>
      <c r="O462" s="353"/>
      <c r="AA462" s="353"/>
    </row>
    <row r="463" spans="3:27">
      <c r="C463" s="50"/>
      <c r="O463" s="353"/>
      <c r="AA463" s="353"/>
    </row>
    <row r="464" spans="3:27">
      <c r="C464" s="50"/>
      <c r="O464" s="353"/>
      <c r="AA464" s="353"/>
    </row>
    <row r="465" spans="3:27">
      <c r="C465" s="50"/>
      <c r="O465" s="353"/>
      <c r="AA465" s="353"/>
    </row>
    <row r="466" spans="3:27">
      <c r="C466" s="50"/>
      <c r="O466" s="353"/>
      <c r="AA466" s="353"/>
    </row>
    <row r="467" spans="3:27">
      <c r="C467" s="50"/>
      <c r="O467" s="353"/>
      <c r="AA467" s="353"/>
    </row>
    <row r="468" spans="3:27">
      <c r="C468" s="50"/>
      <c r="O468" s="353"/>
      <c r="AA468" s="353"/>
    </row>
    <row r="469" spans="3:27">
      <c r="C469" s="50"/>
      <c r="O469" s="353"/>
      <c r="AA469" s="353"/>
    </row>
    <row r="470" spans="3:27">
      <c r="C470" s="50"/>
      <c r="O470" s="353"/>
      <c r="AA470" s="353"/>
    </row>
    <row r="471" spans="3:27">
      <c r="C471" s="50"/>
      <c r="O471" s="353"/>
      <c r="AA471" s="353"/>
    </row>
    <row r="472" spans="3:27">
      <c r="C472" s="50"/>
      <c r="O472" s="353"/>
      <c r="AA472" s="353"/>
    </row>
    <row r="473" spans="3:27">
      <c r="C473" s="50"/>
      <c r="O473" s="353"/>
      <c r="AA473" s="353"/>
    </row>
    <row r="474" spans="3:27">
      <c r="C474" s="50"/>
      <c r="O474" s="353"/>
      <c r="AA474" s="353"/>
    </row>
    <row r="475" spans="3:27">
      <c r="C475" s="50"/>
      <c r="O475" s="353"/>
      <c r="AA475" s="353"/>
    </row>
    <row r="476" spans="3:27">
      <c r="C476" s="50"/>
      <c r="O476" s="353"/>
      <c r="AA476" s="353"/>
    </row>
    <row r="477" spans="3:27">
      <c r="C477" s="50"/>
      <c r="O477" s="353"/>
      <c r="AA477" s="353"/>
    </row>
    <row r="478" spans="3:27">
      <c r="C478" s="50"/>
      <c r="O478" s="353"/>
      <c r="AA478" s="353"/>
    </row>
    <row r="479" spans="3:27">
      <c r="C479" s="50"/>
      <c r="O479" s="353"/>
      <c r="AA479" s="353"/>
    </row>
    <row r="480" spans="3:27">
      <c r="C480" s="50"/>
      <c r="O480" s="353"/>
      <c r="AA480" s="353"/>
    </row>
    <row r="481" spans="3:27">
      <c r="C481" s="50"/>
      <c r="O481" s="353"/>
      <c r="AA481" s="353"/>
    </row>
    <row r="482" spans="3:27">
      <c r="C482" s="50"/>
      <c r="O482" s="353"/>
      <c r="AA482" s="353"/>
    </row>
    <row r="483" spans="3:27">
      <c r="C483" s="50"/>
      <c r="O483" s="353"/>
      <c r="AA483" s="353"/>
    </row>
    <row r="484" spans="3:27">
      <c r="C484" s="50"/>
      <c r="O484" s="353"/>
      <c r="AA484" s="353"/>
    </row>
    <row r="485" spans="3:27">
      <c r="C485" s="50"/>
      <c r="O485" s="353"/>
      <c r="AA485" s="353"/>
    </row>
    <row r="486" spans="3:27">
      <c r="C486" s="50"/>
      <c r="O486" s="353"/>
      <c r="AA486" s="353"/>
    </row>
    <row r="487" spans="3:27">
      <c r="C487" s="50"/>
      <c r="O487" s="353"/>
      <c r="AA487" s="353"/>
    </row>
    <row r="488" spans="3:27">
      <c r="C488" s="50"/>
      <c r="O488" s="353"/>
      <c r="AA488" s="353"/>
    </row>
    <row r="489" spans="3:27">
      <c r="C489" s="50"/>
      <c r="O489" s="353"/>
      <c r="AA489" s="353"/>
    </row>
    <row r="490" spans="3:27">
      <c r="C490" s="50"/>
      <c r="O490" s="353"/>
      <c r="AA490" s="353"/>
    </row>
    <row r="491" spans="3:27">
      <c r="C491" s="50"/>
      <c r="O491" s="353"/>
      <c r="AA491" s="353"/>
    </row>
    <row r="492" spans="3:27">
      <c r="C492" s="50"/>
      <c r="O492" s="353"/>
      <c r="AA492" s="353"/>
    </row>
    <row r="493" spans="3:27">
      <c r="C493" s="50"/>
      <c r="O493" s="353"/>
      <c r="AA493" s="353"/>
    </row>
    <row r="494" spans="3:27">
      <c r="C494" s="50"/>
      <c r="O494" s="353"/>
      <c r="AA494" s="353"/>
    </row>
    <row r="495" spans="3:27">
      <c r="C495" s="50"/>
      <c r="O495" s="353"/>
      <c r="AA495" s="353"/>
    </row>
    <row r="496" spans="3:27">
      <c r="C496" s="50"/>
      <c r="O496" s="353"/>
      <c r="AA496" s="353"/>
    </row>
    <row r="497" spans="3:27">
      <c r="C497" s="50"/>
      <c r="O497" s="353"/>
      <c r="AA497" s="353"/>
    </row>
    <row r="498" spans="3:27">
      <c r="C498" s="50"/>
      <c r="O498" s="353"/>
      <c r="AA498" s="353"/>
    </row>
    <row r="499" spans="3:27">
      <c r="C499" s="50"/>
      <c r="O499" s="353"/>
      <c r="AA499" s="353"/>
    </row>
    <row r="500" spans="3:27">
      <c r="C500" s="50"/>
      <c r="O500" s="353"/>
      <c r="AA500" s="353"/>
    </row>
    <row r="501" spans="3:27">
      <c r="C501" s="50"/>
      <c r="O501" s="353"/>
      <c r="AA501" s="353"/>
    </row>
    <row r="502" spans="3:27">
      <c r="C502" s="50"/>
      <c r="O502" s="353"/>
      <c r="AA502" s="353"/>
    </row>
    <row r="503" spans="3:27">
      <c r="C503" s="50"/>
      <c r="O503" s="353"/>
      <c r="AA503" s="353"/>
    </row>
    <row r="504" spans="3:27">
      <c r="C504" s="50"/>
      <c r="O504" s="353"/>
      <c r="AA504" s="353"/>
    </row>
    <row r="505" spans="3:27">
      <c r="C505" s="50"/>
      <c r="O505" s="353"/>
      <c r="AA505" s="353"/>
    </row>
    <row r="506" spans="3:27">
      <c r="C506" s="50"/>
      <c r="O506" s="353"/>
      <c r="AA506" s="353"/>
    </row>
    <row r="507" spans="3:27">
      <c r="C507" s="50"/>
      <c r="O507" s="353"/>
      <c r="AA507" s="353"/>
    </row>
    <row r="508" spans="3:27">
      <c r="C508" s="50"/>
      <c r="O508" s="353"/>
      <c r="AA508" s="353"/>
    </row>
    <row r="509" spans="3:27">
      <c r="C509" s="50"/>
      <c r="O509" s="353"/>
      <c r="AA509" s="353"/>
    </row>
    <row r="510" spans="3:27">
      <c r="C510" s="50"/>
      <c r="O510" s="353"/>
      <c r="AA510" s="353"/>
    </row>
    <row r="511" spans="3:27">
      <c r="C511" s="50"/>
      <c r="O511" s="353"/>
      <c r="AA511" s="353"/>
    </row>
    <row r="512" spans="3:27">
      <c r="C512" s="50"/>
      <c r="O512" s="353"/>
      <c r="AA512" s="353"/>
    </row>
    <row r="513" spans="3:27">
      <c r="C513" s="50"/>
      <c r="O513" s="353"/>
      <c r="AA513" s="353"/>
    </row>
    <row r="514" spans="3:27">
      <c r="C514" s="50"/>
      <c r="O514" s="353"/>
      <c r="AA514" s="353"/>
    </row>
    <row r="515" spans="3:27">
      <c r="C515" s="50"/>
      <c r="O515" s="353"/>
      <c r="AA515" s="353"/>
    </row>
    <row r="516" spans="3:27">
      <c r="C516" s="50"/>
      <c r="O516" s="353"/>
      <c r="AA516" s="353"/>
    </row>
    <row r="517" spans="3:27">
      <c r="C517" s="50"/>
      <c r="O517" s="353"/>
      <c r="AA517" s="353"/>
    </row>
    <row r="518" spans="3:27">
      <c r="C518" s="50"/>
      <c r="O518" s="353"/>
      <c r="AA518" s="353"/>
    </row>
    <row r="519" spans="3:27">
      <c r="C519" s="50"/>
      <c r="O519" s="353"/>
      <c r="AA519" s="353"/>
    </row>
    <row r="520" spans="3:27">
      <c r="C520" s="50"/>
      <c r="O520" s="353"/>
      <c r="AA520" s="353"/>
    </row>
    <row r="521" spans="3:27">
      <c r="C521" s="50"/>
      <c r="O521" s="353"/>
      <c r="AA521" s="353"/>
    </row>
    <row r="522" spans="3:27">
      <c r="C522" s="50"/>
      <c r="O522" s="353"/>
      <c r="AA522" s="353"/>
    </row>
    <row r="523" spans="3:27">
      <c r="C523" s="50"/>
      <c r="O523" s="353"/>
      <c r="AA523" s="353"/>
    </row>
    <row r="524" spans="3:27">
      <c r="C524" s="50"/>
      <c r="O524" s="353"/>
      <c r="AA524" s="353"/>
    </row>
    <row r="525" spans="3:27">
      <c r="C525" s="50"/>
      <c r="O525" s="353"/>
      <c r="AA525" s="353"/>
    </row>
    <row r="526" spans="3:27">
      <c r="C526" s="50"/>
      <c r="O526" s="353"/>
      <c r="AA526" s="353"/>
    </row>
    <row r="527" spans="3:27">
      <c r="C527" s="50"/>
      <c r="O527" s="353"/>
      <c r="AA527" s="353"/>
    </row>
    <row r="528" spans="3:27">
      <c r="C528" s="50"/>
      <c r="O528" s="353"/>
      <c r="AA528" s="353"/>
    </row>
    <row r="529" spans="3:27">
      <c r="C529" s="50"/>
      <c r="O529" s="353"/>
      <c r="AA529" s="353"/>
    </row>
    <row r="530" spans="3:27">
      <c r="C530" s="50"/>
      <c r="O530" s="353"/>
      <c r="AA530" s="353"/>
    </row>
    <row r="531" spans="3:27">
      <c r="C531" s="50"/>
      <c r="O531" s="353"/>
      <c r="AA531" s="353"/>
    </row>
    <row r="532" spans="3:27">
      <c r="C532" s="50"/>
      <c r="O532" s="353"/>
      <c r="AA532" s="353"/>
    </row>
    <row r="533" spans="3:27">
      <c r="C533" s="50"/>
      <c r="O533" s="353"/>
      <c r="AA533" s="353"/>
    </row>
    <row r="534" spans="3:27">
      <c r="C534" s="50"/>
      <c r="O534" s="353"/>
      <c r="AA534" s="353"/>
    </row>
    <row r="535" spans="3:27">
      <c r="C535" s="50"/>
      <c r="O535" s="353"/>
      <c r="AA535" s="353"/>
    </row>
    <row r="536" spans="3:27">
      <c r="C536" s="50"/>
      <c r="O536" s="353"/>
      <c r="AA536" s="353"/>
    </row>
    <row r="537" spans="3:27">
      <c r="C537" s="50"/>
      <c r="O537" s="353"/>
      <c r="AA537" s="353"/>
    </row>
    <row r="538" spans="3:27">
      <c r="C538" s="50"/>
      <c r="O538" s="353"/>
      <c r="AA538" s="353"/>
    </row>
    <row r="539" spans="3:27">
      <c r="C539" s="50"/>
      <c r="O539" s="353"/>
      <c r="AA539" s="353"/>
    </row>
    <row r="540" spans="3:27">
      <c r="C540" s="50"/>
      <c r="O540" s="353"/>
      <c r="AA540" s="353"/>
    </row>
    <row r="541" spans="3:27">
      <c r="C541" s="50"/>
      <c r="O541" s="353"/>
      <c r="AA541" s="353"/>
    </row>
    <row r="542" spans="3:27">
      <c r="C542" s="50"/>
      <c r="O542" s="353"/>
      <c r="AA542" s="353"/>
    </row>
    <row r="543" spans="3:27">
      <c r="C543" s="50"/>
      <c r="O543" s="353"/>
      <c r="AA543" s="353"/>
    </row>
    <row r="544" spans="3:27">
      <c r="C544" s="50"/>
      <c r="O544" s="353"/>
      <c r="AA544" s="353"/>
    </row>
    <row r="545" spans="3:27">
      <c r="C545" s="50"/>
      <c r="O545" s="353"/>
      <c r="AA545" s="353"/>
    </row>
    <row r="546" spans="3:27">
      <c r="C546" s="50"/>
      <c r="O546" s="353"/>
      <c r="AA546" s="353"/>
    </row>
    <row r="547" spans="3:27">
      <c r="C547" s="50"/>
      <c r="O547" s="353"/>
      <c r="AA547" s="353"/>
    </row>
    <row r="548" spans="3:27">
      <c r="C548" s="50"/>
      <c r="O548" s="353"/>
      <c r="AA548" s="353"/>
    </row>
    <row r="549" spans="3:27">
      <c r="C549" s="50"/>
      <c r="O549" s="353"/>
      <c r="AA549" s="353"/>
    </row>
    <row r="550" spans="3:27">
      <c r="C550" s="50"/>
      <c r="O550" s="353"/>
      <c r="AA550" s="353"/>
    </row>
    <row r="551" spans="3:27">
      <c r="C551" s="50"/>
      <c r="O551" s="353"/>
      <c r="AA551" s="353"/>
    </row>
    <row r="552" spans="3:27">
      <c r="C552" s="50"/>
      <c r="O552" s="353"/>
      <c r="AA552" s="353"/>
    </row>
    <row r="553" spans="3:27">
      <c r="C553" s="50"/>
      <c r="O553" s="353"/>
      <c r="AA553" s="353"/>
    </row>
    <row r="554" spans="3:27">
      <c r="C554" s="50"/>
      <c r="O554" s="353"/>
      <c r="AA554" s="353"/>
    </row>
    <row r="555" spans="3:27">
      <c r="C555" s="50"/>
      <c r="O555" s="353"/>
      <c r="AA555" s="353"/>
    </row>
    <row r="556" spans="3:27">
      <c r="C556" s="50"/>
      <c r="O556" s="353"/>
      <c r="AA556" s="353"/>
    </row>
    <row r="557" spans="3:27">
      <c r="C557" s="50"/>
      <c r="O557" s="353"/>
      <c r="AA557" s="353"/>
    </row>
    <row r="558" spans="3:27">
      <c r="C558" s="50"/>
      <c r="O558" s="353"/>
      <c r="AA558" s="353"/>
    </row>
    <row r="559" spans="3:27">
      <c r="C559" s="50"/>
      <c r="O559" s="353"/>
      <c r="AA559" s="353"/>
    </row>
    <row r="560" spans="3:27">
      <c r="C560" s="50"/>
      <c r="O560" s="353"/>
      <c r="AA560" s="353"/>
    </row>
    <row r="561" spans="3:27">
      <c r="C561" s="50"/>
      <c r="O561" s="353"/>
      <c r="AA561" s="353"/>
    </row>
    <row r="562" spans="3:27">
      <c r="C562" s="50"/>
      <c r="O562" s="353"/>
      <c r="AA562" s="353"/>
    </row>
    <row r="563" spans="3:27">
      <c r="C563" s="50"/>
      <c r="O563" s="353"/>
      <c r="AA563" s="353"/>
    </row>
    <row r="564" spans="3:27">
      <c r="C564" s="50"/>
      <c r="O564" s="353"/>
      <c r="AA564" s="353"/>
    </row>
    <row r="565" spans="3:27">
      <c r="C565" s="50"/>
      <c r="O565" s="353"/>
      <c r="AA565" s="353"/>
    </row>
    <row r="566" spans="3:27">
      <c r="C566" s="50"/>
      <c r="O566" s="353"/>
      <c r="AA566" s="353"/>
    </row>
    <row r="567" spans="3:27">
      <c r="C567" s="50"/>
      <c r="O567" s="353"/>
      <c r="AA567" s="353"/>
    </row>
    <row r="568" spans="3:27">
      <c r="C568" s="50"/>
      <c r="O568" s="353"/>
      <c r="AA568" s="353"/>
    </row>
    <row r="569" spans="3:27">
      <c r="C569" s="50"/>
      <c r="O569" s="353"/>
      <c r="AA569" s="353"/>
    </row>
    <row r="570" spans="3:27">
      <c r="C570" s="50"/>
      <c r="O570" s="353"/>
      <c r="AA570" s="353"/>
    </row>
    <row r="571" spans="3:27">
      <c r="C571" s="50"/>
      <c r="O571" s="353"/>
      <c r="AA571" s="353"/>
    </row>
    <row r="572" spans="3:27">
      <c r="C572" s="50"/>
      <c r="O572" s="353"/>
      <c r="AA572" s="353"/>
    </row>
    <row r="573" spans="3:27">
      <c r="C573" s="50"/>
      <c r="O573" s="353"/>
      <c r="AA573" s="353"/>
    </row>
    <row r="574" spans="3:27">
      <c r="C574" s="50"/>
      <c r="O574" s="353"/>
      <c r="AA574" s="353"/>
    </row>
    <row r="575" spans="3:27">
      <c r="C575" s="50"/>
      <c r="O575" s="353"/>
      <c r="AA575" s="353"/>
    </row>
    <row r="576" spans="3:27">
      <c r="C576" s="50"/>
      <c r="O576" s="353"/>
      <c r="AA576" s="353"/>
    </row>
    <row r="577" spans="3:27">
      <c r="C577" s="50"/>
      <c r="O577" s="353"/>
      <c r="AA577" s="353"/>
    </row>
    <row r="578" spans="3:27">
      <c r="C578" s="50"/>
      <c r="O578" s="353"/>
      <c r="AA578" s="353"/>
    </row>
    <row r="579" spans="3:27">
      <c r="C579" s="50"/>
      <c r="O579" s="353"/>
      <c r="AA579" s="353"/>
    </row>
    <row r="580" spans="3:27">
      <c r="C580" s="50"/>
      <c r="O580" s="353"/>
      <c r="AA580" s="353"/>
    </row>
    <row r="581" spans="3:27">
      <c r="C581" s="50"/>
      <c r="O581" s="353"/>
      <c r="AA581" s="353"/>
    </row>
    <row r="582" spans="3:27">
      <c r="C582" s="50"/>
      <c r="O582" s="353"/>
      <c r="AA582" s="353"/>
    </row>
    <row r="583" spans="3:27">
      <c r="C583" s="50"/>
      <c r="O583" s="353"/>
      <c r="AA583" s="353"/>
    </row>
    <row r="584" spans="3:27">
      <c r="C584" s="50"/>
      <c r="O584" s="353"/>
      <c r="AA584" s="353"/>
    </row>
    <row r="585" spans="3:27">
      <c r="C585" s="50"/>
      <c r="O585" s="353"/>
      <c r="AA585" s="353"/>
    </row>
    <row r="586" spans="3:27">
      <c r="C586" s="50"/>
      <c r="O586" s="353"/>
      <c r="AA586" s="353"/>
    </row>
    <row r="587" spans="3:27">
      <c r="C587" s="50"/>
      <c r="O587" s="353"/>
      <c r="AA587" s="353"/>
    </row>
    <row r="588" spans="3:27">
      <c r="C588" s="50"/>
      <c r="O588" s="353"/>
      <c r="AA588" s="353"/>
    </row>
    <row r="589" spans="3:27">
      <c r="C589" s="50"/>
      <c r="O589" s="353"/>
      <c r="AA589" s="353"/>
    </row>
    <row r="590" spans="3:27">
      <c r="C590" s="50"/>
      <c r="O590" s="353"/>
      <c r="AA590" s="353"/>
    </row>
    <row r="591" spans="3:27">
      <c r="C591" s="50"/>
      <c r="O591" s="353"/>
      <c r="AA591" s="353"/>
    </row>
    <row r="592" spans="3:27">
      <c r="C592" s="50"/>
      <c r="O592" s="353"/>
      <c r="AA592" s="353"/>
    </row>
    <row r="593" spans="3:27">
      <c r="C593" s="50"/>
      <c r="O593" s="353"/>
      <c r="AA593" s="353"/>
    </row>
    <row r="594" spans="3:27">
      <c r="C594" s="50"/>
      <c r="O594" s="353"/>
      <c r="AA594" s="353"/>
    </row>
    <row r="595" spans="3:27">
      <c r="C595" s="50"/>
      <c r="O595" s="353"/>
      <c r="AA595" s="353"/>
    </row>
    <row r="596" spans="3:27">
      <c r="C596" s="50"/>
      <c r="O596" s="353"/>
      <c r="AA596" s="353"/>
    </row>
    <row r="597" spans="3:27">
      <c r="C597" s="50"/>
      <c r="O597" s="353"/>
      <c r="AA597" s="353"/>
    </row>
    <row r="598" spans="3:27">
      <c r="C598" s="50"/>
      <c r="O598" s="353"/>
      <c r="AA598" s="353"/>
    </row>
    <row r="599" spans="3:27">
      <c r="C599" s="50"/>
      <c r="O599" s="353"/>
      <c r="AA599" s="353"/>
    </row>
    <row r="600" spans="3:27">
      <c r="C600" s="50"/>
      <c r="O600" s="353"/>
      <c r="AA600" s="353"/>
    </row>
    <row r="601" spans="3:27">
      <c r="C601" s="50"/>
      <c r="O601" s="353"/>
      <c r="AA601" s="353"/>
    </row>
    <row r="602" spans="3:27">
      <c r="C602" s="50"/>
      <c r="O602" s="353"/>
      <c r="AA602" s="353"/>
    </row>
    <row r="603" spans="3:27">
      <c r="C603" s="50"/>
      <c r="O603" s="353"/>
      <c r="AA603" s="353"/>
    </row>
    <row r="604" spans="3:27">
      <c r="C604" s="50"/>
      <c r="O604" s="353"/>
      <c r="AA604" s="353"/>
    </row>
    <row r="605" spans="3:27">
      <c r="C605" s="50"/>
      <c r="O605" s="353"/>
      <c r="AA605" s="353"/>
    </row>
    <row r="606" spans="3:27">
      <c r="C606" s="50"/>
      <c r="O606" s="353"/>
      <c r="AA606" s="353"/>
    </row>
    <row r="607" spans="3:27">
      <c r="C607" s="50"/>
      <c r="O607" s="353"/>
      <c r="AA607" s="353"/>
    </row>
    <row r="608" spans="3:27">
      <c r="C608" s="50"/>
      <c r="O608" s="353"/>
      <c r="AA608" s="353"/>
    </row>
    <row r="609" spans="3:27">
      <c r="C609" s="50"/>
      <c r="O609" s="353"/>
      <c r="AA609" s="353"/>
    </row>
    <row r="610" spans="3:27">
      <c r="C610" s="50"/>
      <c r="O610" s="353"/>
      <c r="AA610" s="353"/>
    </row>
    <row r="611" spans="3:27">
      <c r="C611" s="50"/>
      <c r="O611" s="353"/>
      <c r="AA611" s="353"/>
    </row>
    <row r="612" spans="3:27">
      <c r="C612" s="50"/>
      <c r="O612" s="353"/>
      <c r="AA612" s="353"/>
    </row>
    <row r="613" spans="3:27">
      <c r="C613" s="50"/>
      <c r="O613" s="353"/>
      <c r="AA613" s="353"/>
    </row>
    <row r="614" spans="3:27">
      <c r="C614" s="50"/>
      <c r="O614" s="353"/>
      <c r="AA614" s="353"/>
    </row>
    <row r="615" spans="3:27">
      <c r="C615" s="50"/>
      <c r="O615" s="353"/>
      <c r="AA615" s="353"/>
    </row>
    <row r="616" spans="3:27">
      <c r="C616" s="50"/>
      <c r="O616" s="353"/>
      <c r="AA616" s="353"/>
    </row>
    <row r="617" spans="3:27">
      <c r="C617" s="50"/>
      <c r="O617" s="353"/>
      <c r="AA617" s="353"/>
    </row>
    <row r="618" spans="3:27">
      <c r="C618" s="50"/>
      <c r="O618" s="353"/>
      <c r="AA618" s="353"/>
    </row>
    <row r="619" spans="3:27">
      <c r="C619" s="50"/>
      <c r="O619" s="353"/>
      <c r="AA619" s="353"/>
    </row>
    <row r="620" spans="3:27">
      <c r="C620" s="50"/>
      <c r="O620" s="353"/>
      <c r="AA620" s="353"/>
    </row>
    <row r="621" spans="3:27">
      <c r="C621" s="50"/>
      <c r="O621" s="353"/>
      <c r="AA621" s="353"/>
    </row>
    <row r="622" spans="3:27">
      <c r="C622" s="50"/>
      <c r="O622" s="353"/>
      <c r="AA622" s="353"/>
    </row>
    <row r="623" spans="3:27">
      <c r="C623" s="50"/>
      <c r="O623" s="353"/>
      <c r="AA623" s="353"/>
    </row>
    <row r="624" spans="3:27">
      <c r="C624" s="50"/>
      <c r="O624" s="353"/>
      <c r="AA624" s="353"/>
    </row>
    <row r="625" spans="3:27">
      <c r="C625" s="50"/>
      <c r="O625" s="353"/>
      <c r="AA625" s="353"/>
    </row>
    <row r="626" spans="3:27">
      <c r="C626" s="50"/>
      <c r="O626" s="353"/>
      <c r="AA626" s="353"/>
    </row>
    <row r="627" spans="3:27">
      <c r="C627" s="50"/>
      <c r="O627" s="353"/>
      <c r="AA627" s="353"/>
    </row>
    <row r="628" spans="3:27">
      <c r="C628" s="50"/>
      <c r="O628" s="353"/>
      <c r="AA628" s="353"/>
    </row>
    <row r="629" spans="3:27">
      <c r="C629" s="50"/>
      <c r="O629" s="353"/>
      <c r="AA629" s="353"/>
    </row>
    <row r="630" spans="3:27">
      <c r="C630" s="50"/>
      <c r="O630" s="353"/>
      <c r="AA630" s="353"/>
    </row>
    <row r="631" spans="3:27">
      <c r="C631" s="50"/>
      <c r="O631" s="353"/>
      <c r="AA631" s="353"/>
    </row>
    <row r="632" spans="3:27">
      <c r="C632" s="50"/>
      <c r="O632" s="353"/>
      <c r="AA632" s="353"/>
    </row>
    <row r="633" spans="3:27">
      <c r="C633" s="50"/>
      <c r="O633" s="353"/>
      <c r="AA633" s="353"/>
    </row>
    <row r="634" spans="3:27">
      <c r="C634" s="50"/>
      <c r="O634" s="353"/>
      <c r="AA634" s="353"/>
    </row>
    <row r="635" spans="3:27">
      <c r="C635" s="50"/>
      <c r="O635" s="353"/>
      <c r="AA635" s="353"/>
    </row>
    <row r="636" spans="3:27">
      <c r="C636" s="50"/>
      <c r="O636" s="353"/>
      <c r="AA636" s="353"/>
    </row>
    <row r="637" spans="3:27">
      <c r="C637" s="50"/>
      <c r="O637" s="353"/>
      <c r="AA637" s="353"/>
    </row>
    <row r="638" spans="3:27">
      <c r="C638" s="50"/>
      <c r="O638" s="353"/>
      <c r="AA638" s="353"/>
    </row>
    <row r="639" spans="3:27">
      <c r="C639" s="50"/>
      <c r="O639" s="353"/>
      <c r="AA639" s="353"/>
    </row>
    <row r="640" spans="3:27">
      <c r="C640" s="50"/>
      <c r="O640" s="353"/>
      <c r="AA640" s="353"/>
    </row>
    <row r="641" spans="3:27">
      <c r="C641" s="50"/>
      <c r="O641" s="353"/>
      <c r="AA641" s="353"/>
    </row>
    <row r="642" spans="3:27">
      <c r="C642" s="50"/>
      <c r="O642" s="353"/>
      <c r="AA642" s="353"/>
    </row>
    <row r="643" spans="3:27">
      <c r="C643" s="50"/>
      <c r="O643" s="353"/>
      <c r="AA643" s="353"/>
    </row>
    <row r="644" spans="3:27">
      <c r="C644" s="50"/>
      <c r="O644" s="353"/>
      <c r="AA644" s="353"/>
    </row>
    <row r="645" spans="3:27">
      <c r="C645" s="50"/>
      <c r="O645" s="353"/>
      <c r="AA645" s="353"/>
    </row>
    <row r="646" spans="3:27">
      <c r="C646" s="50"/>
      <c r="O646" s="353"/>
      <c r="AA646" s="353"/>
    </row>
    <row r="647" spans="3:27">
      <c r="C647" s="50"/>
      <c r="O647" s="353"/>
      <c r="AA647" s="353"/>
    </row>
    <row r="648" spans="3:27">
      <c r="C648" s="50"/>
      <c r="O648" s="353"/>
      <c r="AA648" s="353"/>
    </row>
    <row r="649" spans="3:27">
      <c r="C649" s="50"/>
      <c r="O649" s="353"/>
      <c r="AA649" s="353"/>
    </row>
    <row r="650" spans="3:27">
      <c r="C650" s="50"/>
      <c r="O650" s="353"/>
      <c r="AA650" s="353"/>
    </row>
    <row r="651" spans="3:27">
      <c r="C651" s="50"/>
      <c r="O651" s="353"/>
      <c r="AA651" s="353"/>
    </row>
    <row r="652" spans="3:27">
      <c r="C652" s="50"/>
      <c r="O652" s="353"/>
      <c r="AA652" s="353"/>
    </row>
    <row r="653" spans="3:27">
      <c r="C653" s="50"/>
      <c r="O653" s="353"/>
      <c r="AA653" s="353"/>
    </row>
    <row r="654" spans="3:27">
      <c r="C654" s="50"/>
      <c r="O654" s="353"/>
      <c r="AA654" s="353"/>
    </row>
    <row r="655" spans="3:27">
      <c r="C655" s="50"/>
      <c r="O655" s="353"/>
      <c r="AA655" s="353"/>
    </row>
    <row r="656" spans="3:27">
      <c r="C656" s="50"/>
      <c r="O656" s="353"/>
      <c r="AA656" s="353"/>
    </row>
    <row r="657" spans="3:27">
      <c r="C657" s="50"/>
      <c r="O657" s="353"/>
      <c r="AA657" s="353"/>
    </row>
    <row r="658" spans="3:27">
      <c r="C658" s="50"/>
      <c r="O658" s="353"/>
      <c r="AA658" s="353"/>
    </row>
    <row r="659" spans="3:27">
      <c r="C659" s="50"/>
      <c r="O659" s="353"/>
      <c r="AA659" s="353"/>
    </row>
    <row r="660" spans="3:27">
      <c r="C660" s="50"/>
      <c r="O660" s="353"/>
      <c r="AA660" s="353"/>
    </row>
    <row r="661" spans="3:27">
      <c r="C661" s="50"/>
      <c r="O661" s="353"/>
      <c r="AA661" s="353"/>
    </row>
    <row r="662" spans="3:27">
      <c r="C662" s="50"/>
      <c r="O662" s="353"/>
      <c r="AA662" s="353"/>
    </row>
    <row r="663" spans="3:27">
      <c r="C663" s="50"/>
      <c r="O663" s="353"/>
      <c r="AA663" s="353"/>
    </row>
    <row r="664" spans="3:27">
      <c r="C664" s="50"/>
      <c r="O664" s="353"/>
      <c r="AA664" s="353"/>
    </row>
    <row r="665" spans="3:27">
      <c r="C665" s="50"/>
      <c r="O665" s="353"/>
      <c r="AA665" s="353"/>
    </row>
    <row r="666" spans="3:27">
      <c r="C666" s="50"/>
      <c r="O666" s="353"/>
      <c r="AA666" s="353"/>
    </row>
    <row r="667" spans="3:27">
      <c r="C667" s="50"/>
      <c r="O667" s="353"/>
      <c r="AA667" s="353"/>
    </row>
    <row r="668" spans="3:27">
      <c r="C668" s="50"/>
      <c r="O668" s="353"/>
      <c r="AA668" s="353"/>
    </row>
    <row r="669" spans="3:27">
      <c r="C669" s="50"/>
      <c r="O669" s="353"/>
      <c r="AA669" s="353"/>
    </row>
    <row r="670" spans="3:27">
      <c r="C670" s="50"/>
      <c r="O670" s="353"/>
      <c r="AA670" s="353"/>
    </row>
    <row r="671" spans="3:27">
      <c r="C671" s="50"/>
      <c r="O671" s="353"/>
      <c r="AA671" s="353"/>
    </row>
    <row r="672" spans="3:27">
      <c r="C672" s="50"/>
      <c r="O672" s="353"/>
      <c r="AA672" s="353"/>
    </row>
    <row r="673" spans="3:27">
      <c r="C673" s="50"/>
      <c r="O673" s="353"/>
      <c r="AA673" s="353"/>
    </row>
    <row r="674" spans="3:27">
      <c r="C674" s="50"/>
      <c r="O674" s="353"/>
      <c r="AA674" s="353"/>
    </row>
    <row r="675" spans="3:27">
      <c r="C675" s="50"/>
      <c r="O675" s="353"/>
      <c r="AA675" s="353"/>
    </row>
    <row r="676" spans="3:27">
      <c r="C676" s="50"/>
      <c r="O676" s="353"/>
      <c r="AA676" s="353"/>
    </row>
    <row r="677" spans="3:27">
      <c r="C677" s="50"/>
      <c r="O677" s="353"/>
      <c r="AA677" s="353"/>
    </row>
    <row r="678" spans="3:27">
      <c r="C678" s="50"/>
      <c r="O678" s="353"/>
      <c r="AA678" s="353"/>
    </row>
    <row r="679" spans="3:27">
      <c r="C679" s="50"/>
      <c r="O679" s="353"/>
      <c r="AA679" s="353"/>
    </row>
    <row r="680" spans="3:27">
      <c r="C680" s="50"/>
      <c r="O680" s="353"/>
      <c r="AA680" s="353"/>
    </row>
    <row r="681" spans="3:27">
      <c r="C681" s="50"/>
      <c r="O681" s="353"/>
      <c r="AA681" s="353"/>
    </row>
    <row r="682" spans="3:27">
      <c r="C682" s="50"/>
      <c r="O682" s="353"/>
      <c r="AA682" s="353"/>
    </row>
    <row r="683" spans="3:27">
      <c r="C683" s="50"/>
      <c r="O683" s="353"/>
      <c r="AA683" s="353"/>
    </row>
    <row r="684" spans="3:27">
      <c r="C684" s="50"/>
      <c r="O684" s="353"/>
      <c r="AA684" s="353"/>
    </row>
    <row r="685" spans="3:27">
      <c r="C685" s="50"/>
      <c r="O685" s="353"/>
      <c r="AA685" s="353"/>
    </row>
    <row r="686" spans="3:27">
      <c r="C686" s="50"/>
      <c r="O686" s="353"/>
      <c r="AA686" s="353"/>
    </row>
    <row r="687" spans="3:27">
      <c r="C687" s="50"/>
      <c r="O687" s="353"/>
      <c r="AA687" s="353"/>
    </row>
    <row r="688" spans="3:27">
      <c r="C688" s="50"/>
      <c r="O688" s="353"/>
      <c r="AA688" s="353"/>
    </row>
    <row r="689" spans="3:27">
      <c r="C689" s="50"/>
      <c r="O689" s="353"/>
      <c r="AA689" s="353"/>
    </row>
    <row r="690" spans="3:27">
      <c r="C690" s="50"/>
      <c r="O690" s="353"/>
      <c r="AA690" s="353"/>
    </row>
    <row r="691" spans="3:27">
      <c r="C691" s="50"/>
      <c r="O691" s="353"/>
      <c r="AA691" s="353"/>
    </row>
    <row r="692" spans="3:27">
      <c r="C692" s="50"/>
      <c r="O692" s="353"/>
      <c r="AA692" s="353"/>
    </row>
    <row r="693" spans="3:27">
      <c r="C693" s="50"/>
      <c r="O693" s="353"/>
      <c r="AA693" s="353"/>
    </row>
    <row r="694" spans="3:27">
      <c r="C694" s="50"/>
      <c r="O694" s="353"/>
      <c r="AA694" s="353"/>
    </row>
    <row r="695" spans="3:27">
      <c r="C695" s="50"/>
      <c r="O695" s="353"/>
      <c r="AA695" s="353"/>
    </row>
    <row r="696" spans="3:27">
      <c r="C696" s="50"/>
      <c r="O696" s="353"/>
      <c r="AA696" s="353"/>
    </row>
    <row r="697" spans="3:27">
      <c r="C697" s="50"/>
      <c r="O697" s="353"/>
      <c r="AA697" s="353"/>
    </row>
    <row r="698" spans="3:27">
      <c r="C698" s="50"/>
      <c r="O698" s="353"/>
      <c r="AA698" s="353"/>
    </row>
    <row r="699" spans="3:27">
      <c r="C699" s="50"/>
      <c r="O699" s="353"/>
      <c r="AA699" s="353"/>
    </row>
    <row r="700" spans="3:27">
      <c r="C700" s="50"/>
      <c r="O700" s="353"/>
      <c r="AA700" s="353"/>
    </row>
    <row r="701" spans="3:27">
      <c r="C701" s="50"/>
      <c r="O701" s="353"/>
      <c r="AA701" s="353"/>
    </row>
    <row r="702" spans="3:27">
      <c r="C702" s="50"/>
      <c r="O702" s="353"/>
      <c r="AA702" s="353"/>
    </row>
    <row r="703" spans="3:27">
      <c r="C703" s="50"/>
      <c r="O703" s="353"/>
      <c r="AA703" s="353"/>
    </row>
    <row r="704" spans="3:27">
      <c r="C704" s="50"/>
      <c r="O704" s="353"/>
      <c r="AA704" s="353"/>
    </row>
    <row r="705" spans="3:27">
      <c r="C705" s="50"/>
      <c r="O705" s="353"/>
      <c r="AA705" s="353"/>
    </row>
    <row r="706" spans="3:27">
      <c r="C706" s="50"/>
      <c r="O706" s="353"/>
      <c r="AA706" s="353"/>
    </row>
    <row r="707" spans="3:27">
      <c r="C707" s="50"/>
      <c r="O707" s="353"/>
      <c r="AA707" s="353"/>
    </row>
    <row r="708" spans="3:27">
      <c r="C708" s="50"/>
      <c r="O708" s="353"/>
      <c r="AA708" s="353"/>
    </row>
    <row r="709" spans="3:27">
      <c r="C709" s="50"/>
      <c r="O709" s="353"/>
      <c r="AA709" s="353"/>
    </row>
    <row r="710" spans="3:27">
      <c r="C710" s="50"/>
      <c r="O710" s="353"/>
      <c r="AA710" s="353"/>
    </row>
    <row r="711" spans="3:27">
      <c r="C711" s="50"/>
      <c r="O711" s="353"/>
      <c r="AA711" s="353"/>
    </row>
    <row r="712" spans="3:27">
      <c r="C712" s="50"/>
      <c r="O712" s="353"/>
      <c r="AA712" s="353"/>
    </row>
    <row r="713" spans="3:27">
      <c r="C713" s="50"/>
      <c r="O713" s="353"/>
      <c r="AA713" s="353"/>
    </row>
    <row r="714" spans="3:27">
      <c r="C714" s="50"/>
      <c r="O714" s="353"/>
      <c r="AA714" s="353"/>
    </row>
    <row r="715" spans="3:27">
      <c r="C715" s="50"/>
      <c r="O715" s="353"/>
      <c r="AA715" s="353"/>
    </row>
    <row r="716" spans="3:27">
      <c r="C716" s="50"/>
      <c r="O716" s="353"/>
      <c r="AA716" s="353"/>
    </row>
    <row r="717" spans="3:27">
      <c r="C717" s="50"/>
      <c r="O717" s="353"/>
      <c r="AA717" s="353"/>
    </row>
    <row r="718" spans="3:27">
      <c r="C718" s="50"/>
      <c r="O718" s="353"/>
      <c r="AA718" s="353"/>
    </row>
    <row r="719" spans="3:27">
      <c r="C719" s="50"/>
      <c r="O719" s="353"/>
      <c r="AA719" s="353"/>
    </row>
    <row r="720" spans="3:27">
      <c r="C720" s="50"/>
      <c r="O720" s="353"/>
      <c r="AA720" s="353"/>
    </row>
    <row r="721" spans="3:27">
      <c r="C721" s="50"/>
      <c r="O721" s="353"/>
      <c r="AA721" s="353"/>
    </row>
    <row r="722" spans="3:27">
      <c r="C722" s="50"/>
      <c r="O722" s="353"/>
      <c r="AA722" s="353"/>
    </row>
    <row r="723" spans="3:27">
      <c r="C723" s="50"/>
      <c r="O723" s="353"/>
      <c r="AA723" s="353"/>
    </row>
    <row r="724" spans="3:27">
      <c r="C724" s="50"/>
      <c r="O724" s="353"/>
      <c r="AA724" s="353"/>
    </row>
    <row r="725" spans="3:27">
      <c r="C725" s="50"/>
      <c r="O725" s="353"/>
      <c r="AA725" s="353"/>
    </row>
    <row r="726" spans="3:27">
      <c r="C726" s="50"/>
      <c r="O726" s="353"/>
      <c r="AA726" s="353"/>
    </row>
    <row r="727" spans="3:27">
      <c r="C727" s="50"/>
      <c r="O727" s="353"/>
      <c r="AA727" s="353"/>
    </row>
    <row r="728" spans="3:27">
      <c r="C728" s="50"/>
      <c r="O728" s="353"/>
      <c r="AA728" s="353"/>
    </row>
    <row r="729" spans="3:27">
      <c r="C729" s="50"/>
      <c r="O729" s="353"/>
      <c r="AA729" s="353"/>
    </row>
    <row r="730" spans="3:27">
      <c r="C730" s="50"/>
      <c r="O730" s="353"/>
      <c r="AA730" s="353"/>
    </row>
    <row r="731" spans="3:27">
      <c r="C731" s="50"/>
      <c r="O731" s="353"/>
      <c r="AA731" s="353"/>
    </row>
    <row r="732" spans="3:27">
      <c r="C732" s="50"/>
      <c r="O732" s="353"/>
      <c r="AA732" s="353"/>
    </row>
    <row r="733" spans="3:27">
      <c r="C733" s="50"/>
      <c r="O733" s="353"/>
      <c r="AA733" s="353"/>
    </row>
    <row r="734" spans="3:27">
      <c r="C734" s="50"/>
      <c r="O734" s="353"/>
      <c r="AA734" s="353"/>
    </row>
    <row r="735" spans="3:27">
      <c r="C735" s="50"/>
      <c r="O735" s="353"/>
      <c r="AA735" s="353"/>
    </row>
    <row r="736" spans="3:27">
      <c r="C736" s="50"/>
      <c r="O736" s="353"/>
      <c r="AA736" s="353"/>
    </row>
    <row r="737" spans="3:27">
      <c r="C737" s="50"/>
      <c r="O737" s="353"/>
      <c r="AA737" s="353"/>
    </row>
    <row r="738" spans="3:27">
      <c r="C738" s="50"/>
      <c r="O738" s="353"/>
      <c r="AA738" s="353"/>
    </row>
    <row r="739" spans="3:27">
      <c r="C739" s="50"/>
      <c r="O739" s="353"/>
      <c r="AA739" s="353"/>
    </row>
    <row r="740" spans="3:27">
      <c r="C740" s="50"/>
      <c r="O740" s="353"/>
      <c r="AA740" s="353"/>
    </row>
    <row r="741" spans="3:27">
      <c r="C741" s="50"/>
      <c r="O741" s="353"/>
      <c r="AA741" s="353"/>
    </row>
    <row r="742" spans="3:27">
      <c r="C742" s="50"/>
      <c r="O742" s="353"/>
      <c r="AA742" s="353"/>
    </row>
    <row r="743" spans="3:27">
      <c r="C743" s="50"/>
      <c r="O743" s="353"/>
      <c r="AA743" s="353"/>
    </row>
    <row r="744" spans="3:27">
      <c r="C744" s="50"/>
      <c r="O744" s="353"/>
      <c r="AA744" s="353"/>
    </row>
    <row r="745" spans="3:27">
      <c r="C745" s="50"/>
      <c r="O745" s="353"/>
      <c r="AA745" s="353"/>
    </row>
    <row r="746" spans="3:27">
      <c r="C746" s="50"/>
      <c r="O746" s="353"/>
      <c r="AA746" s="353"/>
    </row>
    <row r="747" spans="3:27">
      <c r="C747" s="50"/>
      <c r="O747" s="353"/>
      <c r="AA747" s="353"/>
    </row>
    <row r="748" spans="3:27">
      <c r="C748" s="50"/>
      <c r="O748" s="353"/>
      <c r="AA748" s="353"/>
    </row>
    <row r="749" spans="3:27">
      <c r="C749" s="50"/>
      <c r="O749" s="353"/>
      <c r="AA749" s="353"/>
    </row>
    <row r="750" spans="3:27">
      <c r="C750" s="50"/>
      <c r="O750" s="353"/>
      <c r="AA750" s="353"/>
    </row>
    <row r="751" spans="3:27">
      <c r="C751" s="50"/>
      <c r="O751" s="353"/>
      <c r="AA751" s="353"/>
    </row>
    <row r="752" spans="3:27">
      <c r="C752" s="50"/>
      <c r="O752" s="353"/>
      <c r="AA752" s="353"/>
    </row>
    <row r="753" spans="3:27">
      <c r="C753" s="50"/>
      <c r="O753" s="353"/>
      <c r="AA753" s="353"/>
    </row>
    <row r="754" spans="3:27">
      <c r="C754" s="50"/>
      <c r="O754" s="353"/>
      <c r="AA754" s="353"/>
    </row>
    <row r="755" spans="3:27">
      <c r="C755" s="50"/>
      <c r="O755" s="353"/>
      <c r="AA755" s="353"/>
    </row>
    <row r="756" spans="3:27">
      <c r="C756" s="50"/>
      <c r="O756" s="353"/>
      <c r="AA756" s="353"/>
    </row>
    <row r="757" spans="3:27">
      <c r="C757" s="50"/>
      <c r="O757" s="353"/>
      <c r="AA757" s="353"/>
    </row>
    <row r="758" spans="3:27">
      <c r="C758" s="50"/>
      <c r="O758" s="353"/>
      <c r="AA758" s="353"/>
    </row>
    <row r="759" spans="3:27">
      <c r="C759" s="50"/>
      <c r="O759" s="353"/>
      <c r="AA759" s="353"/>
    </row>
    <row r="760" spans="3:27">
      <c r="C760" s="50"/>
      <c r="O760" s="353"/>
      <c r="AA760" s="353"/>
    </row>
    <row r="761" spans="3:27">
      <c r="C761" s="50"/>
      <c r="O761" s="353"/>
      <c r="AA761" s="353"/>
    </row>
    <row r="762" spans="3:27">
      <c r="C762" s="50"/>
      <c r="O762" s="353"/>
      <c r="AA762" s="353"/>
    </row>
    <row r="763" spans="3:27">
      <c r="C763" s="50"/>
      <c r="O763" s="353"/>
      <c r="AA763" s="353"/>
    </row>
    <row r="764" spans="3:27">
      <c r="C764" s="50"/>
      <c r="O764" s="353"/>
      <c r="AA764" s="353"/>
    </row>
    <row r="765" spans="3:27">
      <c r="C765" s="50"/>
      <c r="O765" s="353"/>
      <c r="AA765" s="353"/>
    </row>
    <row r="766" spans="3:27">
      <c r="C766" s="50"/>
      <c r="O766" s="353"/>
      <c r="AA766" s="353"/>
    </row>
    <row r="767" spans="3:27">
      <c r="C767" s="50"/>
      <c r="O767" s="353"/>
      <c r="AA767" s="353"/>
    </row>
    <row r="768" spans="3:27">
      <c r="C768" s="50"/>
      <c r="O768" s="353"/>
      <c r="AA768" s="353"/>
    </row>
    <row r="769" spans="3:27">
      <c r="C769" s="50"/>
      <c r="O769" s="353"/>
      <c r="AA769" s="353"/>
    </row>
    <row r="770" spans="3:27">
      <c r="C770" s="50"/>
      <c r="O770" s="353"/>
      <c r="AA770" s="353"/>
    </row>
    <row r="771" spans="3:27">
      <c r="C771" s="50"/>
      <c r="O771" s="353"/>
      <c r="AA771" s="353"/>
    </row>
    <row r="772" spans="3:27">
      <c r="C772" s="50"/>
      <c r="O772" s="353"/>
      <c r="AA772" s="353"/>
    </row>
    <row r="773" spans="3:27">
      <c r="C773" s="50"/>
      <c r="O773" s="353"/>
      <c r="AA773" s="353"/>
    </row>
    <row r="774" spans="3:27">
      <c r="C774" s="50"/>
      <c r="O774" s="353"/>
      <c r="AA774" s="353"/>
    </row>
    <row r="775" spans="3:27">
      <c r="C775" s="50"/>
      <c r="O775" s="353"/>
      <c r="AA775" s="353"/>
    </row>
    <row r="776" spans="3:27">
      <c r="C776" s="50"/>
      <c r="O776" s="353"/>
      <c r="AA776" s="353"/>
    </row>
    <row r="777" spans="3:27">
      <c r="C777" s="50"/>
      <c r="O777" s="353"/>
      <c r="AA777" s="353"/>
    </row>
    <row r="778" spans="3:27">
      <c r="C778" s="50"/>
      <c r="O778" s="353"/>
      <c r="AA778" s="353"/>
    </row>
    <row r="779" spans="3:27">
      <c r="C779" s="50"/>
      <c r="O779" s="353"/>
      <c r="AA779" s="353"/>
    </row>
    <row r="780" spans="3:27">
      <c r="C780" s="50"/>
      <c r="O780" s="353"/>
      <c r="AA780" s="353"/>
    </row>
    <row r="781" spans="3:27">
      <c r="C781" s="50"/>
      <c r="O781" s="353"/>
      <c r="AA781" s="353"/>
    </row>
    <row r="782" spans="3:27">
      <c r="C782" s="50"/>
      <c r="O782" s="353"/>
      <c r="AA782" s="353"/>
    </row>
    <row r="783" spans="3:27">
      <c r="C783" s="50"/>
      <c r="O783" s="353"/>
      <c r="AA783" s="353"/>
    </row>
    <row r="784" spans="3:27">
      <c r="C784" s="50"/>
      <c r="O784" s="353"/>
      <c r="AA784" s="353"/>
    </row>
    <row r="785" spans="3:27">
      <c r="C785" s="50"/>
      <c r="O785" s="353"/>
      <c r="AA785" s="353"/>
    </row>
    <row r="786" spans="3:27">
      <c r="C786" s="50"/>
      <c r="O786" s="353"/>
      <c r="AA786" s="353"/>
    </row>
    <row r="787" spans="3:27">
      <c r="C787" s="50"/>
      <c r="O787" s="353"/>
      <c r="AA787" s="353"/>
    </row>
    <row r="788" spans="3:27">
      <c r="C788" s="50"/>
      <c r="O788" s="353"/>
      <c r="AA788" s="353"/>
    </row>
    <row r="789" spans="3:27">
      <c r="C789" s="50"/>
      <c r="O789" s="353"/>
      <c r="AA789" s="353"/>
    </row>
    <row r="790" spans="3:27">
      <c r="C790" s="50"/>
      <c r="O790" s="353"/>
      <c r="AA790" s="353"/>
    </row>
    <row r="791" spans="3:27">
      <c r="C791" s="50"/>
      <c r="O791" s="353"/>
      <c r="AA791" s="353"/>
    </row>
    <row r="792" spans="3:27">
      <c r="C792" s="50"/>
      <c r="O792" s="353"/>
      <c r="AA792" s="353"/>
    </row>
    <row r="793" spans="3:27">
      <c r="C793" s="50"/>
      <c r="O793" s="353"/>
      <c r="AA793" s="353"/>
    </row>
    <row r="794" spans="3:27">
      <c r="C794" s="50"/>
      <c r="O794" s="353"/>
      <c r="AA794" s="353"/>
    </row>
    <row r="795" spans="3:27">
      <c r="C795" s="50"/>
      <c r="O795" s="353"/>
      <c r="AA795" s="353"/>
    </row>
    <row r="796" spans="3:27">
      <c r="C796" s="50"/>
      <c r="O796" s="353"/>
      <c r="AA796" s="353"/>
    </row>
    <row r="797" spans="3:27">
      <c r="C797" s="50"/>
      <c r="O797" s="353"/>
      <c r="AA797" s="353"/>
    </row>
    <row r="798" spans="3:27">
      <c r="C798" s="50"/>
      <c r="O798" s="353"/>
      <c r="AA798" s="353"/>
    </row>
    <row r="799" spans="3:27">
      <c r="C799" s="50"/>
      <c r="O799" s="353"/>
      <c r="AA799" s="353"/>
    </row>
    <row r="800" spans="3:27">
      <c r="C800" s="50"/>
      <c r="O800" s="353"/>
      <c r="AA800" s="353"/>
    </row>
    <row r="801" spans="3:27">
      <c r="C801" s="50"/>
      <c r="O801" s="353"/>
      <c r="AA801" s="353"/>
    </row>
    <row r="802" spans="3:27">
      <c r="C802" s="50"/>
      <c r="O802" s="353"/>
      <c r="AA802" s="353"/>
    </row>
    <row r="803" spans="3:27">
      <c r="C803" s="50"/>
      <c r="O803" s="353"/>
      <c r="AA803" s="353"/>
    </row>
    <row r="804" spans="3:27">
      <c r="C804" s="50"/>
      <c r="O804" s="353"/>
      <c r="AA804" s="353"/>
    </row>
    <row r="805" spans="3:27">
      <c r="C805" s="50"/>
      <c r="O805" s="353"/>
      <c r="AA805" s="353"/>
    </row>
    <row r="806" spans="3:27">
      <c r="C806" s="50"/>
      <c r="O806" s="353"/>
      <c r="AA806" s="353"/>
    </row>
    <row r="807" spans="3:27">
      <c r="C807" s="50"/>
      <c r="O807" s="353"/>
      <c r="AA807" s="353"/>
    </row>
    <row r="808" spans="3:27">
      <c r="C808" s="50"/>
      <c r="O808" s="353"/>
      <c r="AA808" s="353"/>
    </row>
    <row r="809" spans="3:27">
      <c r="C809" s="50"/>
      <c r="O809" s="353"/>
      <c r="AA809" s="353"/>
    </row>
    <row r="810" spans="3:27">
      <c r="C810" s="50"/>
      <c r="O810" s="353"/>
      <c r="AA810" s="353"/>
    </row>
    <row r="811" spans="3:27">
      <c r="C811" s="50"/>
      <c r="O811" s="353"/>
      <c r="AA811" s="353"/>
    </row>
    <row r="812" spans="3:27">
      <c r="C812" s="50"/>
      <c r="O812" s="353"/>
      <c r="AA812" s="353"/>
    </row>
    <row r="813" spans="3:27">
      <c r="C813" s="50"/>
      <c r="O813" s="353"/>
      <c r="AA813" s="353"/>
    </row>
    <row r="814" spans="3:27">
      <c r="C814" s="50"/>
      <c r="O814" s="353"/>
      <c r="AA814" s="353"/>
    </row>
    <row r="815" spans="3:27">
      <c r="C815" s="50"/>
      <c r="O815" s="353"/>
      <c r="AA815" s="353"/>
    </row>
    <row r="816" spans="3:27">
      <c r="C816" s="50"/>
      <c r="O816" s="353"/>
      <c r="AA816" s="353"/>
    </row>
    <row r="817" spans="3:27">
      <c r="C817" s="50"/>
      <c r="O817" s="353"/>
      <c r="AA817" s="353"/>
    </row>
    <row r="818" spans="3:27">
      <c r="C818" s="50"/>
      <c r="O818" s="353"/>
      <c r="AA818" s="353"/>
    </row>
    <row r="819" spans="3:27">
      <c r="C819" s="50"/>
      <c r="O819" s="353"/>
      <c r="AA819" s="353"/>
    </row>
    <row r="820" spans="3:27">
      <c r="C820" s="50"/>
      <c r="O820" s="353"/>
      <c r="AA820" s="353"/>
    </row>
    <row r="821" spans="3:27">
      <c r="C821" s="50"/>
      <c r="O821" s="353"/>
      <c r="AA821" s="353"/>
    </row>
    <row r="822" spans="3:27">
      <c r="C822" s="50"/>
      <c r="O822" s="353"/>
      <c r="AA822" s="353"/>
    </row>
    <row r="823" spans="3:27">
      <c r="C823" s="50"/>
      <c r="O823" s="353"/>
      <c r="AA823" s="353"/>
    </row>
    <row r="824" spans="3:27">
      <c r="C824" s="50"/>
      <c r="O824" s="353"/>
      <c r="AA824" s="353"/>
    </row>
    <row r="825" spans="3:27">
      <c r="C825" s="50"/>
      <c r="O825" s="353"/>
      <c r="AA825" s="353"/>
    </row>
    <row r="826" spans="3:27">
      <c r="C826" s="50"/>
      <c r="O826" s="353"/>
      <c r="AA826" s="353"/>
    </row>
    <row r="827" spans="3:27">
      <c r="C827" s="50"/>
      <c r="O827" s="353"/>
      <c r="AA827" s="353"/>
    </row>
    <row r="828" spans="3:27">
      <c r="C828" s="50"/>
      <c r="O828" s="353"/>
      <c r="AA828" s="353"/>
    </row>
    <row r="829" spans="3:27">
      <c r="C829" s="50"/>
      <c r="O829" s="353"/>
      <c r="AA829" s="353"/>
    </row>
    <row r="830" spans="3:27">
      <c r="C830" s="50"/>
      <c r="O830" s="353"/>
      <c r="AA830" s="353"/>
    </row>
    <row r="831" spans="3:27">
      <c r="C831" s="50"/>
      <c r="O831" s="353"/>
      <c r="AA831" s="353"/>
    </row>
    <row r="832" spans="3:27">
      <c r="C832" s="50"/>
      <c r="O832" s="353"/>
      <c r="AA832" s="353"/>
    </row>
    <row r="833" spans="3:27">
      <c r="C833" s="50"/>
      <c r="O833" s="353"/>
      <c r="AA833" s="353"/>
    </row>
    <row r="834" spans="3:27">
      <c r="C834" s="50"/>
      <c r="O834" s="353"/>
      <c r="AA834" s="353"/>
    </row>
    <row r="835" spans="3:27">
      <c r="C835" s="50"/>
      <c r="O835" s="353"/>
      <c r="AA835" s="353"/>
    </row>
    <row r="836" spans="3:27">
      <c r="C836" s="50"/>
      <c r="O836" s="353"/>
      <c r="AA836" s="353"/>
    </row>
    <row r="837" spans="3:27">
      <c r="C837" s="50"/>
      <c r="O837" s="353"/>
      <c r="AA837" s="353"/>
    </row>
    <row r="838" spans="3:27">
      <c r="C838" s="50"/>
      <c r="O838" s="353"/>
      <c r="AA838" s="353"/>
    </row>
    <row r="839" spans="3:27">
      <c r="C839" s="50"/>
      <c r="O839" s="353"/>
      <c r="AA839" s="353"/>
    </row>
    <row r="840" spans="3:27">
      <c r="C840" s="50"/>
      <c r="O840" s="353"/>
      <c r="AA840" s="353"/>
    </row>
    <row r="841" spans="3:27">
      <c r="C841" s="50"/>
      <c r="O841" s="353"/>
      <c r="AA841" s="353"/>
    </row>
    <row r="842" spans="3:27">
      <c r="C842" s="50"/>
      <c r="O842" s="353"/>
      <c r="AA842" s="353"/>
    </row>
    <row r="843" spans="3:27">
      <c r="C843" s="50"/>
      <c r="O843" s="353"/>
      <c r="AA843" s="353"/>
    </row>
    <row r="844" spans="3:27">
      <c r="C844" s="50"/>
      <c r="O844" s="353"/>
      <c r="AA844" s="353"/>
    </row>
    <row r="845" spans="3:27">
      <c r="C845" s="50"/>
      <c r="O845" s="353"/>
      <c r="AA845" s="353"/>
    </row>
    <row r="846" spans="3:27">
      <c r="C846" s="50"/>
      <c r="O846" s="353"/>
      <c r="AA846" s="353"/>
    </row>
    <row r="847" spans="3:27">
      <c r="C847" s="50"/>
      <c r="O847" s="353"/>
      <c r="AA847" s="353"/>
    </row>
    <row r="848" spans="3:27">
      <c r="C848" s="50"/>
      <c r="O848" s="353"/>
      <c r="AA848" s="353"/>
    </row>
    <row r="849" spans="3:27">
      <c r="C849" s="50"/>
      <c r="O849" s="353"/>
      <c r="AA849" s="353"/>
    </row>
    <row r="850" spans="3:27">
      <c r="C850" s="50"/>
      <c r="O850" s="353"/>
      <c r="AA850" s="353"/>
    </row>
    <row r="851" spans="3:27">
      <c r="C851" s="50"/>
      <c r="O851" s="353"/>
      <c r="AA851" s="353"/>
    </row>
    <row r="852" spans="3:27">
      <c r="C852" s="50"/>
      <c r="O852" s="353"/>
      <c r="AA852" s="353"/>
    </row>
    <row r="853" spans="3:27">
      <c r="C853" s="50"/>
      <c r="O853" s="353"/>
      <c r="AA853" s="353"/>
    </row>
    <row r="854" spans="3:27">
      <c r="C854" s="50"/>
      <c r="O854" s="353"/>
      <c r="AA854" s="353"/>
    </row>
    <row r="855" spans="3:27">
      <c r="C855" s="50"/>
      <c r="O855" s="353"/>
      <c r="AA855" s="353"/>
    </row>
    <row r="856" spans="3:27">
      <c r="C856" s="50"/>
      <c r="O856" s="353"/>
      <c r="AA856" s="353"/>
    </row>
    <row r="857" spans="3:27">
      <c r="C857" s="50"/>
      <c r="O857" s="353"/>
      <c r="AA857" s="353"/>
    </row>
    <row r="858" spans="3:27">
      <c r="C858" s="50"/>
      <c r="O858" s="353"/>
      <c r="AA858" s="353"/>
    </row>
    <row r="859" spans="3:27">
      <c r="C859" s="50"/>
      <c r="O859" s="353"/>
      <c r="AA859" s="353"/>
    </row>
    <row r="860" spans="3:27">
      <c r="C860" s="50"/>
      <c r="O860" s="353"/>
      <c r="AA860" s="353"/>
    </row>
    <row r="861" spans="3:27">
      <c r="C861" s="50"/>
      <c r="O861" s="353"/>
      <c r="AA861" s="353"/>
    </row>
    <row r="862" spans="3:27">
      <c r="C862" s="50"/>
      <c r="O862" s="353"/>
      <c r="AA862" s="353"/>
    </row>
    <row r="863" spans="3:27">
      <c r="C863" s="50"/>
      <c r="O863" s="353"/>
      <c r="AA863" s="353"/>
    </row>
    <row r="864" spans="3:27">
      <c r="C864" s="50"/>
      <c r="O864" s="353"/>
      <c r="AA864" s="353"/>
    </row>
    <row r="865" spans="3:27">
      <c r="C865" s="50"/>
      <c r="O865" s="353"/>
      <c r="AA865" s="353"/>
    </row>
    <row r="866" spans="3:27">
      <c r="C866" s="50"/>
      <c r="O866" s="353"/>
      <c r="AA866" s="353"/>
    </row>
    <row r="867" spans="3:27">
      <c r="C867" s="50"/>
      <c r="O867" s="353"/>
      <c r="AA867" s="353"/>
    </row>
    <row r="868" spans="3:27">
      <c r="C868" s="50"/>
      <c r="O868" s="353"/>
      <c r="AA868" s="353"/>
    </row>
    <row r="869" spans="3:27">
      <c r="C869" s="50"/>
      <c r="O869" s="353"/>
      <c r="AA869" s="353"/>
    </row>
    <row r="870" spans="3:27">
      <c r="C870" s="50"/>
      <c r="O870" s="353"/>
      <c r="AA870" s="353"/>
    </row>
    <row r="871" spans="3:27">
      <c r="C871" s="50"/>
      <c r="O871" s="353"/>
      <c r="AA871" s="353"/>
    </row>
    <row r="872" spans="3:27">
      <c r="C872" s="50"/>
      <c r="O872" s="353"/>
      <c r="AA872" s="353"/>
    </row>
    <row r="873" spans="3:27">
      <c r="C873" s="50"/>
      <c r="O873" s="353"/>
      <c r="AA873" s="353"/>
    </row>
    <row r="874" spans="3:27">
      <c r="C874" s="50"/>
      <c r="O874" s="353"/>
      <c r="AA874" s="353"/>
    </row>
    <row r="875" spans="3:27">
      <c r="C875" s="50"/>
      <c r="O875" s="353"/>
      <c r="AA875" s="353"/>
    </row>
    <row r="876" spans="3:27">
      <c r="C876" s="50"/>
      <c r="O876" s="353"/>
      <c r="AA876" s="353"/>
    </row>
    <row r="877" spans="3:27">
      <c r="C877" s="50"/>
      <c r="O877" s="353"/>
      <c r="AA877" s="353"/>
    </row>
    <row r="878" spans="3:27">
      <c r="C878" s="50"/>
      <c r="O878" s="353"/>
      <c r="AA878" s="353"/>
    </row>
    <row r="879" spans="3:27">
      <c r="C879" s="50"/>
      <c r="O879" s="353"/>
      <c r="AA879" s="353"/>
    </row>
    <row r="880" spans="3:27">
      <c r="C880" s="50"/>
      <c r="O880" s="353"/>
      <c r="AA880" s="353"/>
    </row>
    <row r="881" spans="3:27">
      <c r="C881" s="50"/>
      <c r="O881" s="353"/>
      <c r="AA881" s="353"/>
    </row>
    <row r="882" spans="3:27">
      <c r="C882" s="50"/>
      <c r="O882" s="353"/>
      <c r="AA882" s="353"/>
    </row>
    <row r="883" spans="3:27">
      <c r="C883" s="50"/>
      <c r="O883" s="353"/>
      <c r="AA883" s="353"/>
    </row>
    <row r="884" spans="3:27">
      <c r="C884" s="50"/>
      <c r="O884" s="353"/>
      <c r="AA884" s="353"/>
    </row>
    <row r="885" spans="3:27">
      <c r="C885" s="50"/>
      <c r="O885" s="353"/>
      <c r="AA885" s="353"/>
    </row>
    <row r="886" spans="3:27">
      <c r="C886" s="50"/>
      <c r="O886" s="353"/>
      <c r="AA886" s="353"/>
    </row>
    <row r="887" spans="3:27">
      <c r="C887" s="50"/>
      <c r="O887" s="353"/>
      <c r="AA887" s="353"/>
    </row>
    <row r="888" spans="3:27">
      <c r="C888" s="50"/>
      <c r="O888" s="353"/>
      <c r="AA888" s="353"/>
    </row>
    <row r="889" spans="3:27">
      <c r="C889" s="50"/>
      <c r="O889" s="353"/>
      <c r="AA889" s="353"/>
    </row>
    <row r="890" spans="3:27">
      <c r="C890" s="50"/>
      <c r="O890" s="353"/>
      <c r="AA890" s="353"/>
    </row>
    <row r="891" spans="3:27">
      <c r="C891" s="50"/>
      <c r="O891" s="353"/>
      <c r="AA891" s="353"/>
    </row>
    <row r="892" spans="3:27">
      <c r="C892" s="50"/>
      <c r="O892" s="353"/>
      <c r="AA892" s="353"/>
    </row>
    <row r="893" spans="3:27">
      <c r="C893" s="50"/>
      <c r="O893" s="353"/>
      <c r="AA893" s="353"/>
    </row>
    <row r="894" spans="3:27">
      <c r="C894" s="50"/>
      <c r="O894" s="353"/>
      <c r="AA894" s="353"/>
    </row>
    <row r="895" spans="3:27">
      <c r="C895" s="50"/>
      <c r="O895" s="353"/>
      <c r="AA895" s="353"/>
    </row>
    <row r="896" spans="3:27">
      <c r="C896" s="50"/>
      <c r="O896" s="353"/>
      <c r="AA896" s="353"/>
    </row>
    <row r="897" spans="3:27">
      <c r="C897" s="50"/>
      <c r="O897" s="353"/>
      <c r="AA897" s="353"/>
    </row>
    <row r="898" spans="3:27">
      <c r="C898" s="50"/>
      <c r="O898" s="353"/>
      <c r="AA898" s="353"/>
    </row>
    <row r="899" spans="3:27">
      <c r="C899" s="50"/>
      <c r="O899" s="353"/>
      <c r="AA899" s="353"/>
    </row>
    <row r="900" spans="3:27">
      <c r="C900" s="50"/>
      <c r="O900" s="353"/>
      <c r="AA900" s="353"/>
    </row>
    <row r="901" spans="3:27">
      <c r="C901" s="50"/>
      <c r="O901" s="353"/>
      <c r="AA901" s="353"/>
    </row>
    <row r="902" spans="3:27">
      <c r="C902" s="50"/>
      <c r="O902" s="353"/>
      <c r="AA902" s="353"/>
    </row>
    <row r="903" spans="3:27">
      <c r="C903" s="50"/>
      <c r="O903" s="353"/>
      <c r="AA903" s="353"/>
    </row>
    <row r="904" spans="3:27">
      <c r="C904" s="50"/>
      <c r="O904" s="353"/>
      <c r="AA904" s="353"/>
    </row>
    <row r="905" spans="3:27">
      <c r="C905" s="50"/>
      <c r="O905" s="353"/>
      <c r="AA905" s="353"/>
    </row>
    <row r="906" spans="3:27">
      <c r="C906" s="50"/>
      <c r="O906" s="353"/>
      <c r="AA906" s="353"/>
    </row>
    <row r="907" spans="3:27">
      <c r="C907" s="50"/>
      <c r="O907" s="353"/>
      <c r="AA907" s="353"/>
    </row>
    <row r="908" spans="3:27">
      <c r="C908" s="50"/>
      <c r="O908" s="353"/>
      <c r="AA908" s="353"/>
    </row>
    <row r="909" spans="3:27">
      <c r="C909" s="50"/>
      <c r="O909" s="353"/>
      <c r="AA909" s="353"/>
    </row>
    <row r="910" spans="3:27">
      <c r="C910" s="50"/>
      <c r="O910" s="353"/>
      <c r="AA910" s="353"/>
    </row>
    <row r="911" spans="3:27">
      <c r="C911" s="50"/>
      <c r="O911" s="353"/>
      <c r="AA911" s="353"/>
    </row>
    <row r="912" spans="3:27">
      <c r="C912" s="50"/>
      <c r="O912" s="353"/>
      <c r="AA912" s="353"/>
    </row>
    <row r="913" spans="3:27">
      <c r="C913" s="50"/>
      <c r="O913" s="353"/>
      <c r="AA913" s="353"/>
    </row>
    <row r="914" spans="3:27">
      <c r="C914" s="50"/>
      <c r="O914" s="353"/>
      <c r="AA914" s="353"/>
    </row>
    <row r="915" spans="3:27">
      <c r="C915" s="50"/>
      <c r="O915" s="353"/>
      <c r="AA915" s="353"/>
    </row>
    <row r="916" spans="3:27">
      <c r="C916" s="50"/>
      <c r="O916" s="353"/>
      <c r="AA916" s="353"/>
    </row>
    <row r="917" spans="3:27">
      <c r="C917" s="50"/>
      <c r="O917" s="353"/>
      <c r="AA917" s="353"/>
    </row>
    <row r="918" spans="3:27">
      <c r="C918" s="50"/>
      <c r="O918" s="353"/>
      <c r="AA918" s="353"/>
    </row>
    <row r="919" spans="3:27">
      <c r="C919" s="50"/>
      <c r="O919" s="353"/>
      <c r="AA919" s="353"/>
    </row>
    <row r="920" spans="3:27">
      <c r="C920" s="50"/>
      <c r="O920" s="353"/>
      <c r="AA920" s="353"/>
    </row>
    <row r="921" spans="3:27">
      <c r="C921" s="50"/>
      <c r="O921" s="353"/>
      <c r="AA921" s="353"/>
    </row>
    <row r="922" spans="3:27">
      <c r="C922" s="50"/>
      <c r="O922" s="353"/>
      <c r="AA922" s="353"/>
    </row>
    <row r="923" spans="3:27">
      <c r="C923" s="50"/>
      <c r="O923" s="353"/>
      <c r="AA923" s="353"/>
    </row>
    <row r="924" spans="3:27">
      <c r="C924" s="50"/>
      <c r="O924" s="353"/>
      <c r="AA924" s="353"/>
    </row>
    <row r="925" spans="3:27">
      <c r="C925" s="50"/>
      <c r="O925" s="353"/>
      <c r="AA925" s="353"/>
    </row>
    <row r="926" spans="3:27">
      <c r="C926" s="50"/>
      <c r="O926" s="353"/>
      <c r="AA926" s="353"/>
    </row>
    <row r="927" spans="3:27">
      <c r="C927" s="50"/>
      <c r="O927" s="353"/>
      <c r="AA927" s="353"/>
    </row>
    <row r="928" spans="3:27">
      <c r="C928" s="50"/>
      <c r="O928" s="353"/>
      <c r="AA928" s="353"/>
    </row>
    <row r="929" spans="3:27">
      <c r="C929" s="50"/>
      <c r="O929" s="353"/>
      <c r="AA929" s="353"/>
    </row>
    <row r="930" spans="3:27">
      <c r="C930" s="50"/>
      <c r="O930" s="353"/>
      <c r="AA930" s="353"/>
    </row>
    <row r="931" spans="3:27">
      <c r="C931" s="50"/>
      <c r="O931" s="353"/>
      <c r="AA931" s="353"/>
    </row>
    <row r="932" spans="3:27">
      <c r="C932" s="50"/>
      <c r="O932" s="353"/>
      <c r="AA932" s="353"/>
    </row>
    <row r="933" spans="3:27">
      <c r="C933" s="50"/>
      <c r="O933" s="353"/>
      <c r="AA933" s="353"/>
    </row>
    <row r="934" spans="3:27">
      <c r="C934" s="50"/>
      <c r="O934" s="353"/>
      <c r="AA934" s="353"/>
    </row>
    <row r="935" spans="3:27">
      <c r="C935" s="50"/>
      <c r="O935" s="353"/>
      <c r="AA935" s="353"/>
    </row>
    <row r="936" spans="3:27">
      <c r="C936" s="50"/>
      <c r="O936" s="353"/>
      <c r="AA936" s="353"/>
    </row>
    <row r="937" spans="3:27">
      <c r="C937" s="50"/>
      <c r="O937" s="353"/>
      <c r="AA937" s="353"/>
    </row>
    <row r="938" spans="3:27">
      <c r="C938" s="50"/>
      <c r="O938" s="353"/>
      <c r="AA938" s="353"/>
    </row>
    <row r="939" spans="3:27">
      <c r="C939" s="50"/>
      <c r="O939" s="353"/>
      <c r="AA939" s="353"/>
    </row>
    <row r="940" spans="3:27">
      <c r="C940" s="50"/>
      <c r="O940" s="353"/>
      <c r="AA940" s="353"/>
    </row>
    <row r="941" spans="3:27">
      <c r="C941" s="50"/>
      <c r="O941" s="353"/>
      <c r="AA941" s="353"/>
    </row>
    <row r="942" spans="3:27">
      <c r="C942" s="50"/>
      <c r="O942" s="353"/>
      <c r="AA942" s="353"/>
    </row>
    <row r="943" spans="3:27">
      <c r="C943" s="50"/>
      <c r="O943" s="353"/>
      <c r="AA943" s="353"/>
    </row>
    <row r="944" spans="3:27">
      <c r="C944" s="50"/>
      <c r="O944" s="353"/>
      <c r="AA944" s="353"/>
    </row>
    <row r="945" spans="3:27">
      <c r="C945" s="50"/>
      <c r="O945" s="353"/>
      <c r="AA945" s="353"/>
    </row>
    <row r="946" spans="3:27">
      <c r="C946" s="50"/>
      <c r="O946" s="353"/>
      <c r="AA946" s="353"/>
    </row>
    <row r="947" spans="3:27">
      <c r="C947" s="50"/>
      <c r="O947" s="353"/>
      <c r="AA947" s="353"/>
    </row>
    <row r="948" spans="3:27">
      <c r="C948" s="50"/>
      <c r="O948" s="353"/>
      <c r="AA948" s="353"/>
    </row>
    <row r="949" spans="3:27">
      <c r="C949" s="50"/>
      <c r="O949" s="353"/>
      <c r="AA949" s="353"/>
    </row>
    <row r="950" spans="3:27">
      <c r="C950" s="50"/>
      <c r="O950" s="353"/>
      <c r="AA950" s="353"/>
    </row>
    <row r="951" spans="3:27">
      <c r="C951" s="50"/>
      <c r="O951" s="353"/>
      <c r="AA951" s="353"/>
    </row>
    <row r="952" spans="3:27">
      <c r="C952" s="50"/>
      <c r="O952" s="353"/>
      <c r="AA952" s="353"/>
    </row>
    <row r="953" spans="3:27">
      <c r="C953" s="50"/>
      <c r="O953" s="353"/>
      <c r="AA953" s="353"/>
    </row>
    <row r="954" spans="3:27">
      <c r="C954" s="50"/>
      <c r="O954" s="353"/>
      <c r="AA954" s="353"/>
    </row>
    <row r="955" spans="3:27">
      <c r="C955" s="50"/>
      <c r="O955" s="353"/>
      <c r="AA955" s="353"/>
    </row>
    <row r="956" spans="3:27">
      <c r="C956" s="50"/>
      <c r="O956" s="353"/>
      <c r="AA956" s="353"/>
    </row>
    <row r="957" spans="3:27">
      <c r="C957" s="50"/>
      <c r="O957" s="353"/>
      <c r="AA957" s="353"/>
    </row>
    <row r="958" spans="3:27">
      <c r="C958" s="50"/>
      <c r="O958" s="353"/>
      <c r="AA958" s="353"/>
    </row>
    <row r="959" spans="3:27">
      <c r="C959" s="50"/>
      <c r="O959" s="353"/>
      <c r="AA959" s="353"/>
    </row>
    <row r="960" spans="3:27">
      <c r="C960" s="50"/>
      <c r="O960" s="353"/>
      <c r="AA960" s="353"/>
    </row>
    <row r="961" spans="3:27">
      <c r="C961" s="50"/>
      <c r="O961" s="353"/>
      <c r="AA961" s="353"/>
    </row>
    <row r="962" spans="3:27">
      <c r="C962" s="50"/>
      <c r="O962" s="353"/>
      <c r="AA962" s="353"/>
    </row>
    <row r="963" spans="3:27">
      <c r="C963" s="50"/>
      <c r="O963" s="353"/>
      <c r="AA963" s="353"/>
    </row>
    <row r="964" spans="3:27">
      <c r="C964" s="50"/>
      <c r="O964" s="353"/>
      <c r="AA964" s="353"/>
    </row>
    <row r="965" spans="3:27">
      <c r="C965" s="50"/>
      <c r="O965" s="353"/>
      <c r="AA965" s="353"/>
    </row>
    <row r="966" spans="3:27">
      <c r="C966" s="50"/>
      <c r="O966" s="353"/>
      <c r="AA966" s="353"/>
    </row>
    <row r="967" spans="3:27">
      <c r="C967" s="50"/>
      <c r="O967" s="353"/>
      <c r="AA967" s="353"/>
    </row>
    <row r="968" spans="3:27">
      <c r="C968" s="50"/>
      <c r="O968" s="353"/>
      <c r="AA968" s="353"/>
    </row>
    <row r="969" spans="3:27">
      <c r="C969" s="50"/>
      <c r="O969" s="353"/>
      <c r="AA969" s="353"/>
    </row>
    <row r="970" spans="3:27">
      <c r="C970" s="50"/>
      <c r="O970" s="353"/>
      <c r="AA970" s="353"/>
    </row>
    <row r="971" spans="3:27">
      <c r="C971" s="50"/>
      <c r="O971" s="353"/>
      <c r="AA971" s="353"/>
    </row>
    <row r="972" spans="3:27">
      <c r="C972" s="50"/>
      <c r="O972" s="353"/>
      <c r="AA972" s="353"/>
    </row>
    <row r="973" spans="3:27">
      <c r="C973" s="50"/>
      <c r="O973" s="353"/>
      <c r="AA973" s="353"/>
    </row>
    <row r="974" spans="3:27">
      <c r="C974" s="50"/>
      <c r="O974" s="353"/>
      <c r="AA974" s="353"/>
    </row>
    <row r="975" spans="3:27">
      <c r="C975" s="50"/>
      <c r="O975" s="353"/>
      <c r="AA975" s="353"/>
    </row>
    <row r="976" spans="3:27">
      <c r="C976" s="50"/>
      <c r="O976" s="353"/>
      <c r="AA976" s="353"/>
    </row>
    <row r="977" spans="3:27">
      <c r="C977" s="50"/>
      <c r="O977" s="353"/>
      <c r="AA977" s="353"/>
    </row>
    <row r="978" spans="3:27">
      <c r="C978" s="50"/>
      <c r="O978" s="353"/>
      <c r="AA978" s="353"/>
    </row>
    <row r="979" spans="3:27">
      <c r="C979" s="50"/>
      <c r="O979" s="353"/>
      <c r="AA979" s="353"/>
    </row>
    <row r="980" spans="3:27">
      <c r="C980" s="50"/>
      <c r="O980" s="353"/>
      <c r="AA980" s="353"/>
    </row>
    <row r="981" spans="3:27">
      <c r="C981" s="50"/>
      <c r="O981" s="353"/>
      <c r="AA981" s="353"/>
    </row>
    <row r="982" spans="3:27">
      <c r="C982" s="50"/>
      <c r="O982" s="353"/>
      <c r="AA982" s="353"/>
    </row>
    <row r="983" spans="3:27">
      <c r="C983" s="50"/>
      <c r="O983" s="353"/>
      <c r="AA983" s="353"/>
    </row>
    <row r="984" spans="3:27">
      <c r="C984" s="50"/>
      <c r="O984" s="353"/>
      <c r="AA984" s="353"/>
    </row>
    <row r="985" spans="3:27">
      <c r="C985" s="50"/>
      <c r="O985" s="353"/>
      <c r="AA985" s="353"/>
    </row>
    <row r="986" spans="3:27">
      <c r="C986" s="50"/>
      <c r="O986" s="353"/>
      <c r="AA986" s="353"/>
    </row>
    <row r="987" spans="3:27">
      <c r="C987" s="50"/>
      <c r="O987" s="353"/>
      <c r="AA987" s="353"/>
    </row>
    <row r="988" spans="3:27">
      <c r="C988" s="50"/>
      <c r="O988" s="353"/>
      <c r="AA988" s="353"/>
    </row>
    <row r="989" spans="3:27">
      <c r="C989" s="50"/>
      <c r="O989" s="353"/>
      <c r="AA989" s="353"/>
    </row>
    <row r="990" spans="3:27">
      <c r="C990" s="50"/>
      <c r="O990" s="353"/>
      <c r="AA990" s="353"/>
    </row>
    <row r="991" spans="3:27">
      <c r="C991" s="50"/>
      <c r="O991" s="353"/>
      <c r="AA991" s="353"/>
    </row>
    <row r="992" spans="3:27">
      <c r="C992" s="50"/>
      <c r="O992" s="353"/>
      <c r="AA992" s="353"/>
    </row>
    <row r="993" spans="3:27">
      <c r="C993" s="50"/>
      <c r="O993" s="353"/>
      <c r="AA993" s="353"/>
    </row>
    <row r="994" spans="3:27">
      <c r="C994" s="50"/>
      <c r="O994" s="353"/>
      <c r="AA994" s="353"/>
    </row>
    <row r="995" spans="3:27">
      <c r="C995" s="50"/>
      <c r="O995" s="353"/>
      <c r="AA995" s="353"/>
    </row>
    <row r="996" spans="3:27">
      <c r="C996" s="50"/>
      <c r="O996" s="353"/>
      <c r="AA996" s="353"/>
    </row>
    <row r="997" spans="3:27">
      <c r="C997" s="50"/>
      <c r="O997" s="353"/>
      <c r="AA997" s="353"/>
    </row>
    <row r="998" spans="3:27">
      <c r="C998" s="50"/>
      <c r="O998" s="353"/>
      <c r="AA998" s="353"/>
    </row>
    <row r="999" spans="3:27">
      <c r="C999" s="50"/>
      <c r="O999" s="353"/>
      <c r="AA999" s="353"/>
    </row>
    <row r="1000" spans="3:27">
      <c r="C1000" s="50"/>
      <c r="O1000" s="353"/>
      <c r="AA1000" s="353"/>
    </row>
    <row r="1001" spans="3:27">
      <c r="C1001" s="50"/>
      <c r="O1001" s="353"/>
      <c r="AA1001" s="353"/>
    </row>
    <row r="1002" spans="3:27">
      <c r="C1002" s="50"/>
      <c r="O1002" s="353"/>
      <c r="AA1002" s="353"/>
    </row>
    <row r="1003" spans="3:27">
      <c r="C1003" s="50"/>
      <c r="O1003" s="353"/>
      <c r="AA1003" s="353"/>
    </row>
    <row r="1004" spans="3:27">
      <c r="C1004" s="50"/>
      <c r="O1004" s="353"/>
      <c r="AA1004" s="353"/>
    </row>
    <row r="1005" spans="3:27">
      <c r="C1005" s="50"/>
      <c r="O1005" s="353"/>
      <c r="AA1005" s="353"/>
    </row>
    <row r="1006" spans="3:27">
      <c r="C1006" s="50"/>
      <c r="O1006" s="353"/>
      <c r="AA1006" s="353"/>
    </row>
    <row r="1007" spans="3:27">
      <c r="C1007" s="50"/>
      <c r="O1007" s="353"/>
      <c r="AA1007" s="353"/>
    </row>
    <row r="1008" spans="3:27">
      <c r="C1008" s="50"/>
      <c r="O1008" s="353"/>
      <c r="AA1008" s="353"/>
    </row>
    <row r="1009" spans="3:27">
      <c r="C1009" s="50"/>
      <c r="O1009" s="353"/>
      <c r="AA1009" s="353"/>
    </row>
    <row r="1010" spans="3:27">
      <c r="C1010" s="50"/>
      <c r="O1010" s="353"/>
      <c r="AA1010" s="353"/>
    </row>
    <row r="1011" spans="3:27">
      <c r="C1011" s="50"/>
      <c r="O1011" s="353"/>
      <c r="AA1011" s="353"/>
    </row>
    <row r="1012" spans="3:27">
      <c r="C1012" s="50"/>
      <c r="O1012" s="353"/>
      <c r="AA1012" s="353"/>
    </row>
    <row r="1013" spans="3:27">
      <c r="C1013" s="50"/>
      <c r="O1013" s="353"/>
      <c r="AA1013" s="353"/>
    </row>
    <row r="1014" spans="3:27">
      <c r="C1014" s="50"/>
      <c r="O1014" s="353"/>
      <c r="AA1014" s="353"/>
    </row>
    <row r="1015" spans="3:27">
      <c r="C1015" s="50"/>
      <c r="O1015" s="353"/>
      <c r="AA1015" s="353"/>
    </row>
    <row r="1016" spans="3:27">
      <c r="C1016" s="50"/>
      <c r="O1016" s="353"/>
      <c r="AA1016" s="353"/>
    </row>
    <row r="1017" spans="3:27">
      <c r="C1017" s="50"/>
      <c r="O1017" s="353"/>
      <c r="AA1017" s="353"/>
    </row>
    <row r="1018" spans="3:27">
      <c r="C1018" s="50"/>
      <c r="O1018" s="353"/>
      <c r="AA1018" s="353"/>
    </row>
    <row r="1019" spans="3:27">
      <c r="C1019" s="50"/>
      <c r="O1019" s="353"/>
      <c r="AA1019" s="353"/>
    </row>
    <row r="1020" spans="3:27">
      <c r="C1020" s="50"/>
      <c r="O1020" s="353"/>
      <c r="AA1020" s="353"/>
    </row>
    <row r="1021" spans="3:27">
      <c r="C1021" s="50"/>
      <c r="O1021" s="353"/>
      <c r="AA1021" s="353"/>
    </row>
    <row r="1022" spans="3:27">
      <c r="C1022" s="50"/>
      <c r="O1022" s="353"/>
      <c r="AA1022" s="353"/>
    </row>
    <row r="1023" spans="3:27">
      <c r="C1023" s="50"/>
      <c r="O1023" s="353"/>
      <c r="AA1023" s="353"/>
    </row>
    <row r="1024" spans="3:27">
      <c r="C1024" s="50"/>
      <c r="O1024" s="353"/>
      <c r="AA1024" s="353"/>
    </row>
    <row r="1025" spans="3:27">
      <c r="C1025" s="50"/>
      <c r="O1025" s="353"/>
      <c r="AA1025" s="353"/>
    </row>
    <row r="1026" spans="3:27">
      <c r="C1026" s="50"/>
      <c r="O1026" s="353"/>
      <c r="AA1026" s="353"/>
    </row>
    <row r="1027" spans="3:27">
      <c r="C1027" s="50"/>
      <c r="O1027" s="353"/>
      <c r="AA1027" s="353"/>
    </row>
    <row r="1028" spans="3:27">
      <c r="C1028" s="50"/>
      <c r="O1028" s="353"/>
      <c r="AA1028" s="353"/>
    </row>
    <row r="1029" spans="3:27">
      <c r="C1029" s="50"/>
      <c r="O1029" s="353"/>
      <c r="AA1029" s="353"/>
    </row>
    <row r="1030" spans="3:27">
      <c r="C1030" s="50"/>
      <c r="O1030" s="353"/>
      <c r="AA1030" s="353"/>
    </row>
    <row r="1031" spans="3:27">
      <c r="C1031" s="50"/>
      <c r="O1031" s="353"/>
      <c r="AA1031" s="353"/>
    </row>
    <row r="1032" spans="3:27">
      <c r="C1032" s="50"/>
      <c r="O1032" s="353"/>
      <c r="AA1032" s="353"/>
    </row>
    <row r="1033" spans="3:27">
      <c r="C1033" s="50"/>
      <c r="O1033" s="353"/>
      <c r="AA1033" s="353"/>
    </row>
    <row r="1034" spans="3:27">
      <c r="C1034" s="50"/>
      <c r="O1034" s="353"/>
      <c r="AA1034" s="353"/>
    </row>
    <row r="1035" spans="3:27">
      <c r="C1035" s="50"/>
      <c r="O1035" s="353"/>
      <c r="AA1035" s="353"/>
    </row>
    <row r="1036" spans="3:27">
      <c r="C1036" s="50"/>
      <c r="O1036" s="353"/>
      <c r="AA1036" s="353"/>
    </row>
    <row r="1037" spans="3:27">
      <c r="C1037" s="50"/>
      <c r="O1037" s="353"/>
      <c r="AA1037" s="353"/>
    </row>
    <row r="1038" spans="3:27">
      <c r="C1038" s="50"/>
      <c r="O1038" s="353"/>
      <c r="AA1038" s="353"/>
    </row>
    <row r="1039" spans="3:27">
      <c r="C1039" s="50"/>
      <c r="O1039" s="353"/>
      <c r="AA1039" s="353"/>
    </row>
    <row r="1040" spans="3:27">
      <c r="C1040" s="50"/>
      <c r="O1040" s="353"/>
      <c r="AA1040" s="353"/>
    </row>
    <row r="1041" spans="3:27">
      <c r="C1041" s="50"/>
      <c r="O1041" s="353"/>
      <c r="AA1041" s="353"/>
    </row>
    <row r="1042" spans="3:27">
      <c r="C1042" s="50"/>
      <c r="O1042" s="353"/>
      <c r="AA1042" s="353"/>
    </row>
    <row r="1043" spans="3:27">
      <c r="C1043" s="50"/>
      <c r="O1043" s="353"/>
      <c r="AA1043" s="353"/>
    </row>
    <row r="1044" spans="3:27">
      <c r="C1044" s="50"/>
      <c r="O1044" s="353"/>
      <c r="AA1044" s="353"/>
    </row>
    <row r="1045" spans="3:27">
      <c r="C1045" s="50"/>
      <c r="O1045" s="353"/>
      <c r="AA1045" s="353"/>
    </row>
    <row r="1046" spans="3:27">
      <c r="C1046" s="50"/>
      <c r="O1046" s="353"/>
      <c r="AA1046" s="353"/>
    </row>
    <row r="1047" spans="3:27">
      <c r="C1047" s="50"/>
      <c r="O1047" s="353"/>
      <c r="AA1047" s="353"/>
    </row>
    <row r="1048" spans="3:27">
      <c r="C1048" s="50"/>
      <c r="O1048" s="353"/>
      <c r="AA1048" s="353"/>
    </row>
    <row r="1049" spans="3:27">
      <c r="C1049" s="50"/>
      <c r="O1049" s="353"/>
      <c r="AA1049" s="353"/>
    </row>
    <row r="1050" spans="3:27">
      <c r="C1050" s="50"/>
      <c r="O1050" s="353"/>
      <c r="AA1050" s="353"/>
    </row>
    <row r="1051" spans="3:27">
      <c r="C1051" s="50"/>
      <c r="O1051" s="353"/>
      <c r="AA1051" s="353"/>
    </row>
    <row r="1052" spans="3:27">
      <c r="C1052" s="50"/>
      <c r="O1052" s="353"/>
      <c r="AA1052" s="353"/>
    </row>
    <row r="1053" spans="3:27">
      <c r="C1053" s="50"/>
      <c r="O1053" s="353"/>
      <c r="AA1053" s="353"/>
    </row>
    <row r="1054" spans="3:27">
      <c r="C1054" s="50"/>
      <c r="O1054" s="353"/>
      <c r="AA1054" s="353"/>
    </row>
    <row r="1055" spans="3:27">
      <c r="C1055" s="50"/>
      <c r="O1055" s="353"/>
      <c r="AA1055" s="353"/>
    </row>
    <row r="1056" spans="3:27">
      <c r="C1056" s="50"/>
      <c r="O1056" s="353"/>
      <c r="AA1056" s="353"/>
    </row>
    <row r="1057" spans="3:27">
      <c r="C1057" s="50"/>
      <c r="O1057" s="353"/>
      <c r="AA1057" s="353"/>
    </row>
    <row r="1058" spans="3:27">
      <c r="C1058" s="50"/>
      <c r="O1058" s="353"/>
      <c r="AA1058" s="353"/>
    </row>
    <row r="1059" spans="3:27">
      <c r="C1059" s="50"/>
      <c r="O1059" s="353"/>
      <c r="AA1059" s="353"/>
    </row>
    <row r="1060" spans="3:27">
      <c r="C1060" s="50"/>
      <c r="O1060" s="353"/>
      <c r="AA1060" s="353"/>
    </row>
    <row r="1061" spans="3:27">
      <c r="C1061" s="50"/>
      <c r="O1061" s="353"/>
      <c r="AA1061" s="353"/>
    </row>
    <row r="1062" spans="3:27">
      <c r="C1062" s="50"/>
      <c r="O1062" s="353"/>
      <c r="AA1062" s="353"/>
    </row>
    <row r="1063" spans="3:27">
      <c r="C1063" s="50"/>
      <c r="O1063" s="353"/>
      <c r="AA1063" s="353"/>
    </row>
    <row r="1064" spans="3:27">
      <c r="C1064" s="50"/>
      <c r="O1064" s="353"/>
      <c r="AA1064" s="353"/>
    </row>
    <row r="1065" spans="3:27">
      <c r="C1065" s="50"/>
      <c r="O1065" s="353"/>
      <c r="AA1065" s="353"/>
    </row>
    <row r="1066" spans="3:27">
      <c r="C1066" s="50"/>
      <c r="O1066" s="353"/>
      <c r="AA1066" s="353"/>
    </row>
    <row r="1067" spans="3:27">
      <c r="C1067" s="50"/>
      <c r="O1067" s="353"/>
      <c r="AA1067" s="353"/>
    </row>
    <row r="1068" spans="3:27">
      <c r="C1068" s="50"/>
      <c r="O1068" s="353"/>
      <c r="AA1068" s="353"/>
    </row>
    <row r="1069" spans="3:27">
      <c r="C1069" s="50"/>
      <c r="O1069" s="353"/>
      <c r="AA1069" s="353"/>
    </row>
    <row r="1070" spans="3:27">
      <c r="C1070" s="50"/>
      <c r="O1070" s="353"/>
      <c r="AA1070" s="353"/>
    </row>
    <row r="1071" spans="3:27">
      <c r="C1071" s="50"/>
      <c r="O1071" s="353"/>
      <c r="AA1071" s="353"/>
    </row>
    <row r="1072" spans="3:27">
      <c r="C1072" s="50"/>
      <c r="O1072" s="353"/>
      <c r="AA1072" s="353"/>
    </row>
    <row r="1073" spans="3:27">
      <c r="C1073" s="50"/>
      <c r="O1073" s="353"/>
      <c r="AA1073" s="353"/>
    </row>
    <row r="1074" spans="3:27">
      <c r="C1074" s="50"/>
      <c r="O1074" s="353"/>
      <c r="AA1074" s="353"/>
    </row>
    <row r="1075" spans="3:27">
      <c r="C1075" s="50"/>
      <c r="O1075" s="353"/>
      <c r="AA1075" s="353"/>
    </row>
    <row r="1076" spans="3:27">
      <c r="C1076" s="50"/>
      <c r="O1076" s="353"/>
      <c r="AA1076" s="353"/>
    </row>
    <row r="1077" spans="3:27">
      <c r="C1077" s="50"/>
      <c r="O1077" s="353"/>
      <c r="AA1077" s="353"/>
    </row>
    <row r="1078" spans="3:27">
      <c r="C1078" s="50"/>
      <c r="O1078" s="353"/>
      <c r="AA1078" s="353"/>
    </row>
    <row r="1079" spans="3:27">
      <c r="C1079" s="50"/>
      <c r="O1079" s="353"/>
      <c r="AA1079" s="353"/>
    </row>
    <row r="1080" spans="3:27">
      <c r="C1080" s="50"/>
      <c r="O1080" s="353"/>
      <c r="AA1080" s="353"/>
    </row>
    <row r="1081" spans="3:27">
      <c r="C1081" s="50"/>
      <c r="O1081" s="353"/>
      <c r="AA1081" s="353"/>
    </row>
    <row r="1082" spans="3:27">
      <c r="C1082" s="50"/>
      <c r="O1082" s="353"/>
      <c r="AA1082" s="353"/>
    </row>
    <row r="1083" spans="3:27">
      <c r="C1083" s="50"/>
      <c r="O1083" s="353"/>
      <c r="AA1083" s="353"/>
    </row>
    <row r="1084" spans="3:27">
      <c r="C1084" s="50"/>
      <c r="O1084" s="353"/>
      <c r="AA1084" s="353"/>
    </row>
    <row r="1085" spans="3:27">
      <c r="C1085" s="50"/>
      <c r="O1085" s="353"/>
      <c r="AA1085" s="353"/>
    </row>
    <row r="1086" spans="3:27">
      <c r="C1086" s="50"/>
      <c r="O1086" s="353"/>
      <c r="AA1086" s="353"/>
    </row>
    <row r="1087" spans="3:27">
      <c r="C1087" s="50"/>
      <c r="O1087" s="353"/>
      <c r="AA1087" s="353"/>
    </row>
    <row r="1088" spans="3:27">
      <c r="C1088" s="50"/>
      <c r="O1088" s="353"/>
      <c r="AA1088" s="353"/>
    </row>
    <row r="1089" spans="3:27">
      <c r="C1089" s="50"/>
      <c r="O1089" s="353"/>
      <c r="AA1089" s="353"/>
    </row>
    <row r="1090" spans="3:27">
      <c r="C1090" s="50"/>
      <c r="O1090" s="353"/>
      <c r="AA1090" s="353"/>
    </row>
    <row r="1091" spans="3:27">
      <c r="C1091" s="50"/>
      <c r="O1091" s="353"/>
      <c r="AA1091" s="353"/>
    </row>
    <row r="1092" spans="3:27">
      <c r="C1092" s="50"/>
      <c r="O1092" s="353"/>
      <c r="AA1092" s="353"/>
    </row>
    <row r="1093" spans="3:27">
      <c r="C1093" s="50"/>
      <c r="O1093" s="353"/>
      <c r="AA1093" s="353"/>
    </row>
    <row r="1094" spans="3:27">
      <c r="C1094" s="50"/>
      <c r="O1094" s="353"/>
      <c r="AA1094" s="353"/>
    </row>
    <row r="1095" spans="3:27">
      <c r="C1095" s="50"/>
      <c r="O1095" s="353"/>
      <c r="AA1095" s="353"/>
    </row>
    <row r="1096" spans="3:27">
      <c r="C1096" s="50"/>
      <c r="O1096" s="353"/>
      <c r="AA1096" s="353"/>
    </row>
    <row r="1097" spans="3:27">
      <c r="C1097" s="50"/>
      <c r="O1097" s="353"/>
      <c r="AA1097" s="353"/>
    </row>
    <row r="1098" spans="3:27">
      <c r="C1098" s="50"/>
      <c r="O1098" s="353"/>
      <c r="AA1098" s="353"/>
    </row>
    <row r="1099" spans="3:27">
      <c r="C1099" s="50"/>
      <c r="O1099" s="353"/>
      <c r="AA1099" s="353"/>
    </row>
    <row r="1100" spans="3:27">
      <c r="C1100" s="50"/>
      <c r="O1100" s="353"/>
      <c r="AA1100" s="353"/>
    </row>
    <row r="1101" spans="3:27">
      <c r="C1101" s="50"/>
      <c r="O1101" s="353"/>
      <c r="AA1101" s="353"/>
    </row>
    <row r="1102" spans="3:27">
      <c r="C1102" s="50"/>
      <c r="O1102" s="353"/>
      <c r="AA1102" s="353"/>
    </row>
    <row r="1103" spans="3:27">
      <c r="C1103" s="50"/>
      <c r="O1103" s="353"/>
      <c r="AA1103" s="353"/>
    </row>
    <row r="1104" spans="3:27">
      <c r="C1104" s="50"/>
      <c r="O1104" s="353"/>
      <c r="AA1104" s="353"/>
    </row>
    <row r="1105" spans="3:27">
      <c r="C1105" s="50"/>
      <c r="O1105" s="353"/>
      <c r="AA1105" s="353"/>
    </row>
    <row r="1106" spans="3:27">
      <c r="C1106" s="50"/>
      <c r="O1106" s="353"/>
      <c r="AA1106" s="353"/>
    </row>
    <row r="1107" spans="3:27">
      <c r="C1107" s="50"/>
      <c r="O1107" s="353"/>
      <c r="AA1107" s="353"/>
    </row>
    <row r="1108" spans="3:27">
      <c r="C1108" s="50"/>
      <c r="O1108" s="353"/>
      <c r="AA1108" s="353"/>
    </row>
    <row r="1109" spans="3:27">
      <c r="C1109" s="50"/>
      <c r="O1109" s="353"/>
      <c r="AA1109" s="353"/>
    </row>
    <row r="1110" spans="3:27">
      <c r="C1110" s="50"/>
      <c r="O1110" s="353"/>
      <c r="AA1110" s="353"/>
    </row>
    <row r="1111" spans="3:27">
      <c r="C1111" s="50"/>
      <c r="O1111" s="353"/>
      <c r="AA1111" s="353"/>
    </row>
    <row r="1112" spans="3:27">
      <c r="C1112" s="50"/>
      <c r="O1112" s="353"/>
      <c r="AA1112" s="353"/>
    </row>
    <row r="1113" spans="3:27">
      <c r="C1113" s="50"/>
      <c r="O1113" s="353"/>
      <c r="AA1113" s="353"/>
    </row>
    <row r="1114" spans="3:27">
      <c r="C1114" s="50"/>
      <c r="O1114" s="353"/>
      <c r="AA1114" s="353"/>
    </row>
    <row r="1115" spans="3:27">
      <c r="C1115" s="50"/>
      <c r="O1115" s="353"/>
      <c r="AA1115" s="353"/>
    </row>
    <row r="1116" spans="3:27">
      <c r="C1116" s="50"/>
      <c r="O1116" s="353"/>
      <c r="AA1116" s="353"/>
    </row>
    <row r="1117" spans="3:27">
      <c r="C1117" s="50"/>
      <c r="O1117" s="353"/>
      <c r="AA1117" s="353"/>
    </row>
    <row r="1118" spans="3:27">
      <c r="C1118" s="50"/>
      <c r="O1118" s="353"/>
      <c r="AA1118" s="353"/>
    </row>
    <row r="1119" spans="3:27">
      <c r="C1119" s="50"/>
      <c r="O1119" s="353"/>
      <c r="AA1119" s="353"/>
    </row>
    <row r="1120" spans="3:27">
      <c r="C1120" s="50"/>
      <c r="O1120" s="353"/>
      <c r="AA1120" s="353"/>
    </row>
    <row r="1121" spans="3:27">
      <c r="C1121" s="50"/>
      <c r="O1121" s="353"/>
      <c r="AA1121" s="353"/>
    </row>
    <row r="1122" spans="3:27">
      <c r="C1122" s="50"/>
      <c r="O1122" s="353"/>
      <c r="AA1122" s="353"/>
    </row>
    <row r="1123" spans="3:27">
      <c r="C1123" s="50"/>
      <c r="O1123" s="353"/>
      <c r="AA1123" s="353"/>
    </row>
    <row r="1124" spans="3:27">
      <c r="C1124" s="50"/>
      <c r="O1124" s="353"/>
      <c r="AA1124" s="353"/>
    </row>
    <row r="1125" spans="3:27">
      <c r="C1125" s="50"/>
      <c r="O1125" s="353"/>
      <c r="AA1125" s="353"/>
    </row>
    <row r="1126" spans="3:27">
      <c r="C1126" s="50"/>
      <c r="O1126" s="353"/>
      <c r="AA1126" s="353"/>
    </row>
    <row r="1127" spans="3:27">
      <c r="C1127" s="50"/>
      <c r="O1127" s="353"/>
      <c r="AA1127" s="353"/>
    </row>
    <row r="1128" spans="3:27">
      <c r="C1128" s="50"/>
      <c r="O1128" s="353"/>
      <c r="AA1128" s="353"/>
    </row>
    <row r="1129" spans="3:27">
      <c r="C1129" s="50"/>
      <c r="O1129" s="353"/>
      <c r="AA1129" s="353"/>
    </row>
    <row r="1130" spans="3:27">
      <c r="C1130" s="50"/>
      <c r="O1130" s="353"/>
      <c r="AA1130" s="353"/>
    </row>
    <row r="1131" spans="3:27">
      <c r="C1131" s="50"/>
      <c r="O1131" s="353"/>
      <c r="AA1131" s="353"/>
    </row>
    <row r="1132" spans="3:27">
      <c r="C1132" s="50"/>
      <c r="O1132" s="353"/>
      <c r="AA1132" s="353"/>
    </row>
    <row r="1133" spans="3:27">
      <c r="C1133" s="50"/>
      <c r="O1133" s="353"/>
      <c r="AA1133" s="353"/>
    </row>
    <row r="1134" spans="3:27">
      <c r="C1134" s="50"/>
      <c r="O1134" s="353"/>
      <c r="AA1134" s="353"/>
    </row>
    <row r="1135" spans="3:27">
      <c r="C1135" s="50"/>
      <c r="O1135" s="353"/>
      <c r="AA1135" s="353"/>
    </row>
    <row r="1136" spans="3:27">
      <c r="C1136" s="50"/>
      <c r="O1136" s="353"/>
      <c r="AA1136" s="353"/>
    </row>
    <row r="1137" spans="3:27">
      <c r="C1137" s="50"/>
      <c r="O1137" s="353"/>
      <c r="AA1137" s="353"/>
    </row>
    <row r="1138" spans="3:27">
      <c r="C1138" s="50"/>
      <c r="O1138" s="353"/>
      <c r="AA1138" s="353"/>
    </row>
    <row r="1139" spans="3:27">
      <c r="C1139" s="50"/>
      <c r="O1139" s="353"/>
      <c r="AA1139" s="353"/>
    </row>
    <row r="1140" spans="3:27">
      <c r="C1140" s="50"/>
      <c r="O1140" s="353"/>
      <c r="AA1140" s="353"/>
    </row>
    <row r="1141" spans="3:27">
      <c r="C1141" s="50"/>
      <c r="O1141" s="353"/>
      <c r="AA1141" s="353"/>
    </row>
    <row r="1142" spans="3:27">
      <c r="C1142" s="50"/>
      <c r="O1142" s="353"/>
      <c r="AA1142" s="353"/>
    </row>
    <row r="1143" spans="3:27">
      <c r="C1143" s="50"/>
      <c r="O1143" s="353"/>
      <c r="AA1143" s="353"/>
    </row>
    <row r="1144" spans="3:27">
      <c r="C1144" s="50"/>
      <c r="O1144" s="353"/>
      <c r="AA1144" s="353"/>
    </row>
    <row r="1145" spans="3:27">
      <c r="C1145" s="50"/>
      <c r="O1145" s="353"/>
      <c r="AA1145" s="353"/>
    </row>
    <row r="1146" spans="3:27">
      <c r="C1146" s="50"/>
      <c r="O1146" s="353"/>
      <c r="AA1146" s="353"/>
    </row>
    <row r="1147" spans="3:27">
      <c r="C1147" s="50"/>
      <c r="O1147" s="353"/>
      <c r="AA1147" s="353"/>
    </row>
    <row r="1148" spans="3:27">
      <c r="C1148" s="50"/>
      <c r="O1148" s="353"/>
      <c r="AA1148" s="353"/>
    </row>
    <row r="1149" spans="3:27">
      <c r="C1149" s="50"/>
      <c r="O1149" s="353"/>
      <c r="AA1149" s="353"/>
    </row>
    <row r="1150" spans="3:27">
      <c r="C1150" s="50"/>
      <c r="O1150" s="353"/>
      <c r="AA1150" s="353"/>
    </row>
    <row r="1151" spans="3:27">
      <c r="C1151" s="50"/>
      <c r="O1151" s="353"/>
      <c r="AA1151" s="353"/>
    </row>
    <row r="1152" spans="3:27">
      <c r="C1152" s="50"/>
      <c r="O1152" s="353"/>
      <c r="AA1152" s="353"/>
    </row>
    <row r="1153" spans="3:27">
      <c r="C1153" s="50"/>
      <c r="O1153" s="353"/>
      <c r="AA1153" s="353"/>
    </row>
    <row r="1154" spans="3:27">
      <c r="C1154" s="50"/>
      <c r="O1154" s="353"/>
      <c r="AA1154" s="353"/>
    </row>
    <row r="1155" spans="3:27">
      <c r="C1155" s="50"/>
      <c r="O1155" s="353"/>
      <c r="AA1155" s="353"/>
    </row>
    <row r="1156" spans="3:27">
      <c r="C1156" s="50"/>
      <c r="O1156" s="353"/>
      <c r="AA1156" s="353"/>
    </row>
    <row r="1157" spans="3:27">
      <c r="C1157" s="50"/>
      <c r="O1157" s="353"/>
      <c r="AA1157" s="353"/>
    </row>
    <row r="1158" spans="3:27">
      <c r="C1158" s="50"/>
      <c r="O1158" s="353"/>
      <c r="AA1158" s="353"/>
    </row>
    <row r="1159" spans="3:27">
      <c r="C1159" s="50"/>
      <c r="O1159" s="353"/>
      <c r="AA1159" s="353"/>
    </row>
    <row r="1160" spans="3:27">
      <c r="C1160" s="50"/>
      <c r="O1160" s="353"/>
      <c r="AA1160" s="353"/>
    </row>
    <row r="1161" spans="3:27">
      <c r="C1161" s="50"/>
      <c r="O1161" s="353"/>
      <c r="AA1161" s="353"/>
    </row>
    <row r="1162" spans="3:27">
      <c r="C1162" s="50"/>
      <c r="O1162" s="353"/>
      <c r="AA1162" s="353"/>
    </row>
    <row r="1163" spans="3:27">
      <c r="C1163" s="50"/>
      <c r="O1163" s="353"/>
      <c r="AA1163" s="353"/>
    </row>
    <row r="1164" spans="3:27">
      <c r="C1164" s="50"/>
      <c r="O1164" s="353"/>
      <c r="AA1164" s="353"/>
    </row>
    <row r="1165" spans="3:27">
      <c r="C1165" s="50"/>
      <c r="O1165" s="353"/>
      <c r="AA1165" s="353"/>
    </row>
    <row r="1166" spans="3:27">
      <c r="C1166" s="50"/>
      <c r="O1166" s="353"/>
      <c r="AA1166" s="353"/>
    </row>
    <row r="1167" spans="3:27">
      <c r="C1167" s="50"/>
      <c r="O1167" s="353"/>
      <c r="AA1167" s="353"/>
    </row>
    <row r="1168" spans="3:27">
      <c r="C1168" s="50"/>
      <c r="O1168" s="353"/>
      <c r="AA1168" s="353"/>
    </row>
    <row r="1169" spans="3:27">
      <c r="C1169" s="50"/>
      <c r="O1169" s="353"/>
      <c r="AA1169" s="353"/>
    </row>
    <row r="1170" spans="3:27">
      <c r="C1170" s="50"/>
      <c r="O1170" s="353"/>
      <c r="AA1170" s="353"/>
    </row>
    <row r="1171" spans="3:27">
      <c r="C1171" s="50"/>
      <c r="O1171" s="353"/>
      <c r="AA1171" s="353"/>
    </row>
    <row r="1172" spans="3:27">
      <c r="C1172" s="50"/>
      <c r="O1172" s="353"/>
      <c r="AA1172" s="353"/>
    </row>
    <row r="1173" spans="3:27">
      <c r="C1173" s="50"/>
      <c r="O1173" s="353"/>
      <c r="AA1173" s="353"/>
    </row>
    <row r="1174" spans="3:27">
      <c r="C1174" s="50"/>
      <c r="O1174" s="353"/>
      <c r="AA1174" s="353"/>
    </row>
    <row r="1175" spans="3:27">
      <c r="C1175" s="50"/>
      <c r="O1175" s="353"/>
      <c r="AA1175" s="353"/>
    </row>
    <row r="1176" spans="3:27">
      <c r="C1176" s="50"/>
      <c r="O1176" s="353"/>
      <c r="AA1176" s="353"/>
    </row>
    <row r="1177" spans="3:27">
      <c r="C1177" s="50"/>
      <c r="O1177" s="353"/>
      <c r="AA1177" s="353"/>
    </row>
    <row r="1178" spans="3:27">
      <c r="C1178" s="50"/>
      <c r="O1178" s="353"/>
      <c r="AA1178" s="353"/>
    </row>
    <row r="1179" spans="3:27">
      <c r="C1179" s="50"/>
      <c r="O1179" s="353"/>
      <c r="AA1179" s="353"/>
    </row>
    <row r="1180" spans="3:27">
      <c r="C1180" s="50"/>
      <c r="O1180" s="353"/>
      <c r="AA1180" s="353"/>
    </row>
    <row r="1181" spans="3:27">
      <c r="C1181" s="50"/>
      <c r="O1181" s="353"/>
      <c r="AA1181" s="353"/>
    </row>
    <row r="1182" spans="3:27">
      <c r="C1182" s="50"/>
      <c r="O1182" s="353"/>
      <c r="AA1182" s="353"/>
    </row>
    <row r="1183" spans="3:27">
      <c r="C1183" s="50"/>
      <c r="O1183" s="353"/>
      <c r="AA1183" s="353"/>
    </row>
    <row r="1184" spans="3:27">
      <c r="C1184" s="50"/>
      <c r="O1184" s="353"/>
      <c r="AA1184" s="353"/>
    </row>
    <row r="1185" spans="3:27">
      <c r="C1185" s="50"/>
      <c r="O1185" s="353"/>
      <c r="AA1185" s="353"/>
    </row>
    <row r="1186" spans="3:27">
      <c r="C1186" s="50"/>
      <c r="O1186" s="353"/>
      <c r="AA1186" s="353"/>
    </row>
    <row r="1187" spans="3:27">
      <c r="C1187" s="50"/>
      <c r="O1187" s="353"/>
      <c r="AA1187" s="353"/>
    </row>
    <row r="1188" spans="3:27">
      <c r="C1188" s="50"/>
      <c r="O1188" s="353"/>
      <c r="AA1188" s="353"/>
    </row>
    <row r="1189" spans="3:27">
      <c r="C1189" s="50"/>
      <c r="O1189" s="353"/>
      <c r="AA1189" s="353"/>
    </row>
    <row r="1190" spans="3:27">
      <c r="C1190" s="50"/>
      <c r="O1190" s="353"/>
      <c r="AA1190" s="353"/>
    </row>
    <row r="1191" spans="3:27">
      <c r="C1191" s="50"/>
      <c r="O1191" s="353"/>
      <c r="AA1191" s="353"/>
    </row>
    <row r="1192" spans="3:27">
      <c r="C1192" s="50"/>
      <c r="O1192" s="353"/>
      <c r="AA1192" s="353"/>
    </row>
    <row r="1193" spans="3:27">
      <c r="C1193" s="50"/>
      <c r="O1193" s="353"/>
      <c r="AA1193" s="353"/>
    </row>
    <row r="1194" spans="3:27">
      <c r="C1194" s="50"/>
      <c r="O1194" s="353"/>
      <c r="AA1194" s="353"/>
    </row>
    <row r="1195" spans="3:27">
      <c r="C1195" s="50"/>
      <c r="O1195" s="353"/>
      <c r="AA1195" s="353"/>
    </row>
    <row r="1196" spans="3:27">
      <c r="C1196" s="50"/>
      <c r="O1196" s="353"/>
      <c r="AA1196" s="353"/>
    </row>
    <row r="1197" spans="3:27">
      <c r="C1197" s="50"/>
      <c r="O1197" s="353"/>
      <c r="AA1197" s="353"/>
    </row>
    <row r="1198" spans="3:27">
      <c r="C1198" s="50"/>
      <c r="O1198" s="353"/>
      <c r="AA1198" s="353"/>
    </row>
    <row r="1199" spans="3:27">
      <c r="C1199" s="50"/>
      <c r="O1199" s="353"/>
      <c r="AA1199" s="353"/>
    </row>
    <row r="1200" spans="3:27">
      <c r="C1200" s="50"/>
      <c r="O1200" s="353"/>
      <c r="AA1200" s="353"/>
    </row>
    <row r="1201" spans="3:27">
      <c r="C1201" s="50"/>
      <c r="O1201" s="353"/>
      <c r="AA1201" s="353"/>
    </row>
    <row r="1202" spans="3:27">
      <c r="C1202" s="50"/>
      <c r="O1202" s="353"/>
      <c r="AA1202" s="353"/>
    </row>
    <row r="1203" spans="3:27">
      <c r="C1203" s="50"/>
      <c r="O1203" s="353"/>
      <c r="AA1203" s="353"/>
    </row>
    <row r="1204" spans="3:27">
      <c r="C1204" s="50"/>
      <c r="O1204" s="353"/>
      <c r="AA1204" s="353"/>
    </row>
    <row r="1205" spans="3:27">
      <c r="C1205" s="50"/>
      <c r="O1205" s="353"/>
      <c r="AA1205" s="353"/>
    </row>
    <row r="1206" spans="3:27">
      <c r="C1206" s="50"/>
      <c r="O1206" s="353"/>
      <c r="AA1206" s="353"/>
    </row>
    <row r="1207" spans="3:27">
      <c r="C1207" s="50"/>
      <c r="O1207" s="353"/>
      <c r="AA1207" s="353"/>
    </row>
    <row r="1208" spans="3:27">
      <c r="C1208" s="50"/>
      <c r="O1208" s="353"/>
      <c r="AA1208" s="353"/>
    </row>
    <row r="1209" spans="3:27">
      <c r="C1209" s="50"/>
      <c r="O1209" s="353"/>
      <c r="AA1209" s="353"/>
    </row>
    <row r="1210" spans="3:27">
      <c r="C1210" s="50"/>
      <c r="O1210" s="353"/>
      <c r="AA1210" s="353"/>
    </row>
    <row r="1211" spans="3:27">
      <c r="C1211" s="50"/>
      <c r="O1211" s="353"/>
      <c r="AA1211" s="353"/>
    </row>
    <row r="1212" spans="3:27">
      <c r="C1212" s="50"/>
      <c r="O1212" s="353"/>
      <c r="AA1212" s="353"/>
    </row>
    <row r="1213" spans="3:27">
      <c r="C1213" s="50"/>
      <c r="O1213" s="353"/>
      <c r="AA1213" s="353"/>
    </row>
    <row r="1214" spans="3:27">
      <c r="C1214" s="50"/>
      <c r="O1214" s="353"/>
      <c r="AA1214" s="353"/>
    </row>
    <row r="1215" spans="3:27">
      <c r="C1215" s="50"/>
      <c r="O1215" s="353"/>
      <c r="AA1215" s="353"/>
    </row>
    <row r="1216" spans="3:27">
      <c r="C1216" s="50"/>
      <c r="O1216" s="353"/>
      <c r="AA1216" s="353"/>
    </row>
    <row r="1217" spans="3:27">
      <c r="C1217" s="50"/>
      <c r="O1217" s="353"/>
      <c r="AA1217" s="353"/>
    </row>
    <row r="1218" spans="3:27">
      <c r="C1218" s="50"/>
      <c r="O1218" s="353"/>
      <c r="AA1218" s="353"/>
    </row>
    <row r="1219" spans="3:27">
      <c r="C1219" s="50"/>
      <c r="O1219" s="353"/>
      <c r="AA1219" s="353"/>
    </row>
    <row r="1220" spans="3:27">
      <c r="C1220" s="50"/>
      <c r="O1220" s="353"/>
      <c r="AA1220" s="353"/>
    </row>
    <row r="1221" spans="3:27">
      <c r="C1221" s="50"/>
      <c r="O1221" s="353"/>
      <c r="AA1221" s="353"/>
    </row>
    <row r="1222" spans="3:27">
      <c r="C1222" s="50"/>
      <c r="O1222" s="353"/>
      <c r="AA1222" s="353"/>
    </row>
    <row r="1223" spans="3:27">
      <c r="C1223" s="50"/>
      <c r="O1223" s="353"/>
      <c r="AA1223" s="353"/>
    </row>
    <row r="1224" spans="3:27">
      <c r="C1224" s="50"/>
      <c r="O1224" s="353"/>
      <c r="AA1224" s="353"/>
    </row>
    <row r="1225" spans="3:27">
      <c r="C1225" s="50"/>
      <c r="O1225" s="353"/>
      <c r="AA1225" s="353"/>
    </row>
    <row r="1226" spans="3:27">
      <c r="C1226" s="50"/>
      <c r="O1226" s="353"/>
      <c r="AA1226" s="353"/>
    </row>
    <row r="1227" spans="3:27">
      <c r="C1227" s="50"/>
      <c r="O1227" s="353"/>
      <c r="AA1227" s="353"/>
    </row>
    <row r="1228" spans="3:27">
      <c r="C1228" s="50"/>
      <c r="O1228" s="353"/>
      <c r="AA1228" s="353"/>
    </row>
    <row r="1229" spans="3:27">
      <c r="C1229" s="50"/>
      <c r="O1229" s="353"/>
      <c r="AA1229" s="353"/>
    </row>
    <row r="1230" spans="3:27">
      <c r="C1230" s="50"/>
      <c r="O1230" s="353"/>
      <c r="AA1230" s="353"/>
    </row>
    <row r="1231" spans="3:27">
      <c r="C1231" s="50"/>
      <c r="O1231" s="353"/>
      <c r="AA1231" s="353"/>
    </row>
    <row r="1232" spans="3:27">
      <c r="C1232" s="50"/>
      <c r="O1232" s="353"/>
      <c r="AA1232" s="353"/>
    </row>
    <row r="1233" spans="3:27">
      <c r="C1233" s="50"/>
      <c r="O1233" s="353"/>
      <c r="AA1233" s="353"/>
    </row>
    <row r="1234" spans="3:27">
      <c r="C1234" s="50"/>
      <c r="O1234" s="353"/>
      <c r="AA1234" s="353"/>
    </row>
    <row r="1235" spans="3:27">
      <c r="C1235" s="50"/>
      <c r="O1235" s="353"/>
      <c r="AA1235" s="353"/>
    </row>
    <row r="1236" spans="3:27">
      <c r="C1236" s="50"/>
      <c r="O1236" s="353"/>
      <c r="AA1236" s="353"/>
    </row>
    <row r="1237" spans="3:27">
      <c r="C1237" s="50"/>
      <c r="O1237" s="353"/>
      <c r="AA1237" s="353"/>
    </row>
    <row r="1238" spans="3:27">
      <c r="C1238" s="50"/>
      <c r="O1238" s="353"/>
      <c r="AA1238" s="353"/>
    </row>
    <row r="1239" spans="3:27">
      <c r="C1239" s="50"/>
      <c r="O1239" s="353"/>
      <c r="AA1239" s="353"/>
    </row>
    <row r="1240" spans="3:27">
      <c r="C1240" s="50"/>
      <c r="O1240" s="353"/>
      <c r="AA1240" s="353"/>
    </row>
    <row r="1241" spans="3:27">
      <c r="C1241" s="50"/>
      <c r="O1241" s="353"/>
      <c r="AA1241" s="353"/>
    </row>
    <row r="1242" spans="3:27">
      <c r="C1242" s="50"/>
      <c r="O1242" s="353"/>
      <c r="AA1242" s="353"/>
    </row>
    <row r="1243" spans="3:27">
      <c r="C1243" s="50"/>
      <c r="O1243" s="353"/>
      <c r="AA1243" s="353"/>
    </row>
    <row r="1244" spans="3:27">
      <c r="C1244" s="50"/>
      <c r="O1244" s="353"/>
      <c r="AA1244" s="353"/>
    </row>
    <row r="1245" spans="3:27">
      <c r="C1245" s="50"/>
      <c r="O1245" s="353"/>
      <c r="AA1245" s="353"/>
    </row>
    <row r="1246" spans="3:27">
      <c r="C1246" s="50"/>
      <c r="O1246" s="353"/>
      <c r="AA1246" s="353"/>
    </row>
    <row r="1247" spans="3:27">
      <c r="C1247" s="50"/>
      <c r="O1247" s="353"/>
      <c r="AA1247" s="353"/>
    </row>
    <row r="1248" spans="3:27">
      <c r="C1248" s="50"/>
      <c r="O1248" s="353"/>
      <c r="AA1248" s="353"/>
    </row>
    <row r="1249" spans="3:27">
      <c r="C1249" s="50"/>
      <c r="O1249" s="353"/>
      <c r="AA1249" s="353"/>
    </row>
    <row r="1250" spans="3:27">
      <c r="C1250" s="50"/>
      <c r="O1250" s="353"/>
      <c r="AA1250" s="353"/>
    </row>
    <row r="1251" spans="3:27">
      <c r="C1251" s="50"/>
      <c r="O1251" s="353"/>
      <c r="AA1251" s="353"/>
    </row>
    <row r="1252" spans="3:27">
      <c r="C1252" s="50"/>
      <c r="O1252" s="353"/>
      <c r="AA1252" s="353"/>
    </row>
    <row r="1253" spans="3:27">
      <c r="C1253" s="50"/>
      <c r="O1253" s="353"/>
      <c r="AA1253" s="353"/>
    </row>
    <row r="1254" spans="3:27">
      <c r="C1254" s="50"/>
      <c r="O1254" s="353"/>
      <c r="AA1254" s="353"/>
    </row>
    <row r="1255" spans="3:27">
      <c r="C1255" s="50"/>
      <c r="O1255" s="353"/>
      <c r="AA1255" s="353"/>
    </row>
    <row r="1256" spans="3:27">
      <c r="C1256" s="50"/>
      <c r="O1256" s="353"/>
      <c r="AA1256" s="353"/>
    </row>
    <row r="1257" spans="3:27">
      <c r="C1257" s="50"/>
      <c r="O1257" s="353"/>
      <c r="AA1257" s="353"/>
    </row>
    <row r="1258" spans="3:27">
      <c r="C1258" s="50"/>
      <c r="O1258" s="353"/>
      <c r="AA1258" s="353"/>
    </row>
    <row r="1259" spans="3:27">
      <c r="C1259" s="50"/>
      <c r="O1259" s="353"/>
      <c r="AA1259" s="353"/>
    </row>
    <row r="1260" spans="3:27">
      <c r="C1260" s="50"/>
      <c r="O1260" s="353"/>
      <c r="AA1260" s="353"/>
    </row>
    <row r="1261" spans="3:27">
      <c r="C1261" s="50"/>
      <c r="O1261" s="353"/>
      <c r="AA1261" s="353"/>
    </row>
    <row r="1262" spans="3:27">
      <c r="C1262" s="50"/>
      <c r="O1262" s="353"/>
      <c r="AA1262" s="353"/>
    </row>
    <row r="1263" spans="3:27">
      <c r="C1263" s="50"/>
      <c r="O1263" s="353"/>
      <c r="AA1263" s="353"/>
    </row>
    <row r="1264" spans="3:27">
      <c r="C1264" s="50"/>
      <c r="O1264" s="353"/>
      <c r="AA1264" s="353"/>
    </row>
    <row r="1265" spans="3:27">
      <c r="C1265" s="50"/>
      <c r="O1265" s="353"/>
      <c r="AA1265" s="353"/>
    </row>
    <row r="1266" spans="3:27">
      <c r="C1266" s="50"/>
      <c r="O1266" s="353"/>
      <c r="AA1266" s="353"/>
    </row>
    <row r="1267" spans="3:27">
      <c r="C1267" s="50"/>
      <c r="O1267" s="353"/>
      <c r="AA1267" s="353"/>
    </row>
    <row r="1268" spans="3:27">
      <c r="C1268" s="50"/>
      <c r="O1268" s="353"/>
      <c r="AA1268" s="353"/>
    </row>
    <row r="1269" spans="3:27">
      <c r="C1269" s="50"/>
      <c r="O1269" s="353"/>
      <c r="AA1269" s="353"/>
    </row>
    <row r="1270" spans="3:27">
      <c r="C1270" s="50"/>
      <c r="O1270" s="353"/>
      <c r="AA1270" s="353"/>
    </row>
    <row r="1271" spans="3:27">
      <c r="C1271" s="50"/>
      <c r="O1271" s="353"/>
      <c r="AA1271" s="353"/>
    </row>
    <row r="1272" spans="3:27">
      <c r="C1272" s="50"/>
      <c r="O1272" s="353"/>
      <c r="AA1272" s="353"/>
    </row>
    <row r="1273" spans="3:27">
      <c r="C1273" s="50"/>
      <c r="O1273" s="353"/>
      <c r="AA1273" s="353"/>
    </row>
    <row r="1274" spans="3:27">
      <c r="C1274" s="50"/>
      <c r="O1274" s="353"/>
      <c r="AA1274" s="353"/>
    </row>
    <row r="1275" spans="3:27">
      <c r="C1275" s="50"/>
      <c r="O1275" s="353"/>
      <c r="AA1275" s="353"/>
    </row>
    <row r="1276" spans="3:27">
      <c r="C1276" s="50"/>
      <c r="O1276" s="353"/>
      <c r="AA1276" s="353"/>
    </row>
    <row r="1277" spans="3:27">
      <c r="C1277" s="50"/>
      <c r="O1277" s="353"/>
      <c r="AA1277" s="353"/>
    </row>
    <row r="1278" spans="3:27">
      <c r="C1278" s="50"/>
      <c r="O1278" s="353"/>
      <c r="AA1278" s="353"/>
    </row>
    <row r="1279" spans="3:27">
      <c r="C1279" s="50"/>
      <c r="O1279" s="353"/>
      <c r="AA1279" s="353"/>
    </row>
    <row r="1280" spans="3:27">
      <c r="C1280" s="50"/>
      <c r="O1280" s="353"/>
      <c r="AA1280" s="353"/>
    </row>
    <row r="1281" spans="3:27">
      <c r="C1281" s="50"/>
      <c r="O1281" s="353"/>
      <c r="AA1281" s="353"/>
    </row>
    <row r="1282" spans="3:27">
      <c r="C1282" s="50"/>
      <c r="O1282" s="353"/>
      <c r="AA1282" s="353"/>
    </row>
    <row r="1283" spans="3:27">
      <c r="C1283" s="50"/>
      <c r="O1283" s="353"/>
      <c r="AA1283" s="353"/>
    </row>
    <row r="1284" spans="3:27">
      <c r="C1284" s="50"/>
      <c r="O1284" s="353"/>
      <c r="AA1284" s="353"/>
    </row>
    <row r="1285" spans="3:27">
      <c r="C1285" s="50"/>
      <c r="O1285" s="353"/>
      <c r="AA1285" s="353"/>
    </row>
    <row r="1286" spans="3:27">
      <c r="C1286" s="50"/>
      <c r="O1286" s="353"/>
      <c r="AA1286" s="353"/>
    </row>
    <row r="1287" spans="3:27">
      <c r="C1287" s="50"/>
      <c r="O1287" s="353"/>
      <c r="AA1287" s="353"/>
    </row>
    <row r="1288" spans="3:27">
      <c r="C1288" s="50"/>
      <c r="O1288" s="353"/>
      <c r="AA1288" s="353"/>
    </row>
    <row r="1289" spans="3:27">
      <c r="C1289" s="50"/>
      <c r="O1289" s="353"/>
      <c r="AA1289" s="353"/>
    </row>
    <row r="1290" spans="3:27">
      <c r="C1290" s="50"/>
      <c r="O1290" s="353"/>
      <c r="AA1290" s="353"/>
    </row>
    <row r="1291" spans="3:27">
      <c r="C1291" s="50"/>
      <c r="O1291" s="353"/>
      <c r="AA1291" s="353"/>
    </row>
    <row r="1292" spans="3:27">
      <c r="C1292" s="50"/>
      <c r="O1292" s="353"/>
      <c r="AA1292" s="353"/>
    </row>
    <row r="1293" spans="3:27">
      <c r="C1293" s="50"/>
      <c r="O1293" s="353"/>
      <c r="AA1293" s="353"/>
    </row>
    <row r="1294" spans="3:27">
      <c r="C1294" s="50"/>
      <c r="O1294" s="353"/>
      <c r="AA1294" s="353"/>
    </row>
    <row r="1295" spans="3:27">
      <c r="C1295" s="50"/>
      <c r="O1295" s="353"/>
      <c r="AA1295" s="353"/>
    </row>
    <row r="1296" spans="3:27">
      <c r="C1296" s="50"/>
      <c r="O1296" s="353"/>
      <c r="AA1296" s="353"/>
    </row>
    <row r="1297" spans="3:27">
      <c r="C1297" s="50"/>
      <c r="O1297" s="353"/>
      <c r="AA1297" s="353"/>
    </row>
    <row r="1298" spans="3:27">
      <c r="C1298" s="50"/>
      <c r="O1298" s="353"/>
      <c r="AA1298" s="353"/>
    </row>
    <row r="1299" spans="3:27">
      <c r="C1299" s="50"/>
      <c r="O1299" s="353"/>
      <c r="AA1299" s="353"/>
    </row>
    <row r="1300" spans="3:27">
      <c r="C1300" s="50"/>
      <c r="O1300" s="353"/>
      <c r="AA1300" s="353"/>
    </row>
    <row r="1301" spans="3:27">
      <c r="C1301" s="50"/>
      <c r="O1301" s="353"/>
      <c r="AA1301" s="353"/>
    </row>
    <row r="1302" spans="3:27">
      <c r="C1302" s="50"/>
      <c r="O1302" s="353"/>
      <c r="AA1302" s="353"/>
    </row>
    <row r="1303" spans="3:27">
      <c r="C1303" s="50"/>
      <c r="O1303" s="353"/>
      <c r="AA1303" s="353"/>
    </row>
    <row r="1304" spans="3:27">
      <c r="C1304" s="50"/>
      <c r="O1304" s="353"/>
      <c r="AA1304" s="353"/>
    </row>
    <row r="1305" spans="3:27">
      <c r="C1305" s="50"/>
      <c r="O1305" s="353"/>
      <c r="AA1305" s="353"/>
    </row>
    <row r="1306" spans="3:27">
      <c r="C1306" s="50"/>
      <c r="O1306" s="353"/>
      <c r="AA1306" s="353"/>
    </row>
    <row r="1307" spans="3:27">
      <c r="C1307" s="50"/>
      <c r="O1307" s="353"/>
      <c r="AA1307" s="353"/>
    </row>
    <row r="1308" spans="3:27">
      <c r="C1308" s="50"/>
      <c r="O1308" s="353"/>
      <c r="AA1308" s="353"/>
    </row>
    <row r="1309" spans="3:27">
      <c r="C1309" s="50"/>
      <c r="O1309" s="353"/>
      <c r="AA1309" s="353"/>
    </row>
    <row r="1310" spans="3:27">
      <c r="C1310" s="50"/>
      <c r="O1310" s="353"/>
      <c r="AA1310" s="353"/>
    </row>
    <row r="1311" spans="3:27">
      <c r="C1311" s="50"/>
      <c r="O1311" s="353"/>
      <c r="AA1311" s="353"/>
    </row>
    <row r="1312" spans="3:27">
      <c r="C1312" s="50"/>
      <c r="O1312" s="353"/>
      <c r="AA1312" s="353"/>
    </row>
    <row r="1313" spans="3:27">
      <c r="C1313" s="50"/>
      <c r="O1313" s="353"/>
      <c r="AA1313" s="353"/>
    </row>
    <row r="1314" spans="3:27">
      <c r="C1314" s="50"/>
      <c r="O1314" s="353"/>
      <c r="AA1314" s="353"/>
    </row>
    <row r="1315" spans="3:27">
      <c r="C1315" s="50"/>
      <c r="O1315" s="353"/>
      <c r="AA1315" s="353"/>
    </row>
    <row r="1316" spans="3:27">
      <c r="C1316" s="50"/>
      <c r="O1316" s="353"/>
      <c r="AA1316" s="353"/>
    </row>
    <row r="1317" spans="3:27">
      <c r="C1317" s="50"/>
      <c r="O1317" s="353"/>
      <c r="AA1317" s="353"/>
    </row>
    <row r="1318" spans="3:27">
      <c r="C1318" s="50"/>
      <c r="O1318" s="353"/>
      <c r="AA1318" s="353"/>
    </row>
    <row r="1319" spans="3:27">
      <c r="C1319" s="50"/>
      <c r="O1319" s="353"/>
      <c r="AA1319" s="353"/>
    </row>
    <row r="1320" spans="3:27">
      <c r="C1320" s="50"/>
      <c r="O1320" s="353"/>
      <c r="AA1320" s="353"/>
    </row>
    <row r="1321" spans="3:27">
      <c r="C1321" s="50"/>
      <c r="O1321" s="353"/>
      <c r="AA1321" s="353"/>
    </row>
    <row r="1322" spans="3:27">
      <c r="C1322" s="50"/>
      <c r="O1322" s="353"/>
      <c r="AA1322" s="353"/>
    </row>
    <row r="1323" spans="3:27">
      <c r="C1323" s="50"/>
      <c r="O1323" s="353"/>
      <c r="AA1323" s="353"/>
    </row>
    <row r="1324" spans="3:27">
      <c r="C1324" s="50"/>
      <c r="O1324" s="353"/>
      <c r="AA1324" s="353"/>
    </row>
    <row r="1325" spans="3:27">
      <c r="C1325" s="50"/>
      <c r="O1325" s="353"/>
      <c r="AA1325" s="353"/>
    </row>
    <row r="1326" spans="3:27">
      <c r="C1326" s="50"/>
      <c r="O1326" s="353"/>
      <c r="AA1326" s="353"/>
    </row>
    <row r="1327" spans="3:27">
      <c r="C1327" s="50"/>
      <c r="O1327" s="353"/>
      <c r="AA1327" s="353"/>
    </row>
    <row r="1328" spans="3:27">
      <c r="C1328" s="50"/>
      <c r="O1328" s="353"/>
      <c r="AA1328" s="353"/>
    </row>
    <row r="1329" spans="3:27">
      <c r="C1329" s="50"/>
      <c r="O1329" s="353"/>
      <c r="AA1329" s="353"/>
    </row>
    <row r="1330" spans="3:27">
      <c r="C1330" s="50"/>
      <c r="O1330" s="353"/>
      <c r="AA1330" s="353"/>
    </row>
    <row r="1331" spans="3:27">
      <c r="C1331" s="50"/>
      <c r="O1331" s="353"/>
      <c r="AA1331" s="353"/>
    </row>
    <row r="1332" spans="3:27">
      <c r="C1332" s="50"/>
      <c r="O1332" s="353"/>
      <c r="AA1332" s="353"/>
    </row>
    <row r="1333" spans="3:27">
      <c r="C1333" s="50"/>
      <c r="O1333" s="353"/>
      <c r="AA1333" s="353"/>
    </row>
    <row r="1334" spans="3:27">
      <c r="C1334" s="50"/>
      <c r="O1334" s="353"/>
      <c r="AA1334" s="353"/>
    </row>
    <row r="1335" spans="3:27">
      <c r="C1335" s="50"/>
      <c r="O1335" s="353"/>
      <c r="AA1335" s="353"/>
    </row>
    <row r="1336" spans="3:27">
      <c r="C1336" s="50"/>
      <c r="O1336" s="353"/>
      <c r="AA1336" s="353"/>
    </row>
    <row r="1337" spans="3:27">
      <c r="C1337" s="50"/>
      <c r="O1337" s="353"/>
      <c r="AA1337" s="353"/>
    </row>
    <row r="1338" spans="3:27">
      <c r="C1338" s="50"/>
      <c r="O1338" s="353"/>
      <c r="AA1338" s="353"/>
    </row>
    <row r="1339" spans="3:27">
      <c r="C1339" s="50"/>
      <c r="O1339" s="353"/>
      <c r="AA1339" s="353"/>
    </row>
    <row r="1340" spans="3:27">
      <c r="C1340" s="50"/>
      <c r="O1340" s="353"/>
      <c r="AA1340" s="353"/>
    </row>
    <row r="1341" spans="3:27">
      <c r="C1341" s="50"/>
      <c r="O1341" s="353"/>
      <c r="AA1341" s="353"/>
    </row>
    <row r="1342" spans="3:27">
      <c r="C1342" s="50"/>
      <c r="O1342" s="353"/>
      <c r="AA1342" s="353"/>
    </row>
    <row r="1343" spans="3:27">
      <c r="C1343" s="50"/>
      <c r="O1343" s="353"/>
      <c r="AA1343" s="353"/>
    </row>
    <row r="1344" spans="3:27">
      <c r="C1344" s="50"/>
      <c r="O1344" s="353"/>
      <c r="AA1344" s="353"/>
    </row>
    <row r="1345" spans="3:27">
      <c r="C1345" s="50"/>
      <c r="O1345" s="353"/>
      <c r="AA1345" s="353"/>
    </row>
    <row r="1346" spans="3:27">
      <c r="C1346" s="50"/>
      <c r="O1346" s="353"/>
      <c r="AA1346" s="353"/>
    </row>
    <row r="1347" spans="3:27">
      <c r="C1347" s="50"/>
      <c r="O1347" s="353"/>
      <c r="AA1347" s="353"/>
    </row>
    <row r="1348" spans="3:27">
      <c r="C1348" s="50"/>
      <c r="O1348" s="353"/>
      <c r="AA1348" s="353"/>
    </row>
    <row r="1349" spans="3:27">
      <c r="C1349" s="50"/>
      <c r="O1349" s="353"/>
      <c r="AA1349" s="353"/>
    </row>
    <row r="1350" spans="3:27">
      <c r="C1350" s="50"/>
      <c r="O1350" s="353"/>
      <c r="AA1350" s="353"/>
    </row>
    <row r="1351" spans="3:27">
      <c r="C1351" s="50"/>
      <c r="O1351" s="353"/>
      <c r="AA1351" s="353"/>
    </row>
    <row r="1352" spans="3:27">
      <c r="C1352" s="50"/>
      <c r="O1352" s="353"/>
      <c r="AA1352" s="353"/>
    </row>
    <row r="1353" spans="3:27">
      <c r="C1353" s="50"/>
      <c r="O1353" s="353"/>
      <c r="AA1353" s="353"/>
    </row>
    <row r="1354" spans="3:27">
      <c r="C1354" s="50"/>
      <c r="O1354" s="353"/>
      <c r="AA1354" s="353"/>
    </row>
    <row r="1355" spans="3:27">
      <c r="C1355" s="50"/>
      <c r="O1355" s="353"/>
      <c r="AA1355" s="353"/>
    </row>
    <row r="1356" spans="3:27">
      <c r="C1356" s="50"/>
      <c r="O1356" s="353"/>
      <c r="AA1356" s="353"/>
    </row>
    <row r="1357" spans="3:27">
      <c r="C1357" s="50"/>
      <c r="O1357" s="353"/>
      <c r="AA1357" s="353"/>
    </row>
    <row r="1358" spans="3:27">
      <c r="C1358" s="50"/>
      <c r="O1358" s="353"/>
      <c r="AA1358" s="353"/>
    </row>
    <row r="1359" spans="3:27">
      <c r="C1359" s="50"/>
      <c r="O1359" s="353"/>
      <c r="AA1359" s="353"/>
    </row>
    <row r="1360" spans="3:27">
      <c r="C1360" s="50"/>
      <c r="O1360" s="353"/>
      <c r="AA1360" s="353"/>
    </row>
    <row r="1361" spans="3:27">
      <c r="C1361" s="50"/>
      <c r="O1361" s="353"/>
      <c r="AA1361" s="353"/>
    </row>
    <row r="1362" spans="3:27">
      <c r="C1362" s="50"/>
      <c r="O1362" s="353"/>
      <c r="AA1362" s="353"/>
    </row>
    <row r="1363" spans="3:27">
      <c r="C1363" s="50"/>
      <c r="O1363" s="353"/>
      <c r="AA1363" s="353"/>
    </row>
    <row r="1364" spans="3:27">
      <c r="C1364" s="50"/>
      <c r="O1364" s="353"/>
      <c r="AA1364" s="353"/>
    </row>
    <row r="1365" spans="3:27">
      <c r="C1365" s="50"/>
      <c r="O1365" s="353"/>
      <c r="AA1365" s="353"/>
    </row>
    <row r="1366" spans="3:27">
      <c r="C1366" s="50"/>
      <c r="O1366" s="353"/>
      <c r="AA1366" s="353"/>
    </row>
    <row r="1367" spans="3:27">
      <c r="C1367" s="50"/>
      <c r="O1367" s="353"/>
      <c r="AA1367" s="353"/>
    </row>
    <row r="1368" spans="3:27">
      <c r="C1368" s="50"/>
      <c r="O1368" s="353"/>
      <c r="AA1368" s="353"/>
    </row>
    <row r="1369" spans="3:27">
      <c r="C1369" s="50"/>
      <c r="O1369" s="353"/>
      <c r="AA1369" s="353"/>
    </row>
    <row r="1370" spans="3:27">
      <c r="C1370" s="50"/>
      <c r="O1370" s="353"/>
      <c r="AA1370" s="353"/>
    </row>
    <row r="1371" spans="3:27">
      <c r="C1371" s="50"/>
      <c r="O1371" s="353"/>
      <c r="AA1371" s="353"/>
    </row>
    <row r="1372" spans="3:27">
      <c r="C1372" s="50"/>
      <c r="O1372" s="353"/>
      <c r="AA1372" s="353"/>
    </row>
    <row r="1373" spans="3:27">
      <c r="C1373" s="50"/>
      <c r="O1373" s="353"/>
      <c r="AA1373" s="353"/>
    </row>
    <row r="1374" spans="3:27">
      <c r="C1374" s="50"/>
      <c r="O1374" s="353"/>
      <c r="AA1374" s="353"/>
    </row>
    <row r="1375" spans="3:27">
      <c r="C1375" s="50"/>
      <c r="O1375" s="353"/>
      <c r="AA1375" s="353"/>
    </row>
    <row r="1376" spans="3:27">
      <c r="C1376" s="50"/>
      <c r="O1376" s="353"/>
      <c r="AA1376" s="353"/>
    </row>
    <row r="1377" spans="3:27">
      <c r="C1377" s="50"/>
      <c r="O1377" s="353"/>
      <c r="AA1377" s="353"/>
    </row>
    <row r="1378" spans="3:27">
      <c r="C1378" s="50"/>
      <c r="O1378" s="353"/>
      <c r="AA1378" s="353"/>
    </row>
    <row r="1379" spans="3:27">
      <c r="C1379" s="50"/>
      <c r="O1379" s="353"/>
      <c r="AA1379" s="353"/>
    </row>
    <row r="1380" spans="3:27">
      <c r="C1380" s="50"/>
      <c r="O1380" s="353"/>
      <c r="AA1380" s="353"/>
    </row>
    <row r="1381" spans="3:27">
      <c r="C1381" s="50"/>
      <c r="O1381" s="353"/>
      <c r="AA1381" s="353"/>
    </row>
    <row r="1382" spans="3:27">
      <c r="C1382" s="50"/>
      <c r="O1382" s="353"/>
      <c r="AA1382" s="353"/>
    </row>
    <row r="1383" spans="3:27">
      <c r="C1383" s="50"/>
      <c r="O1383" s="353"/>
      <c r="AA1383" s="353"/>
    </row>
    <row r="1384" spans="3:27">
      <c r="C1384" s="50"/>
      <c r="O1384" s="353"/>
      <c r="AA1384" s="353"/>
    </row>
    <row r="1385" spans="3:27">
      <c r="C1385" s="50"/>
      <c r="O1385" s="353"/>
      <c r="AA1385" s="353"/>
    </row>
    <row r="1386" spans="3:27">
      <c r="C1386" s="50"/>
      <c r="O1386" s="353"/>
      <c r="AA1386" s="353"/>
    </row>
    <row r="1387" spans="3:27">
      <c r="C1387" s="50"/>
      <c r="O1387" s="353"/>
      <c r="AA1387" s="353"/>
    </row>
    <row r="1388" spans="3:27">
      <c r="C1388" s="50"/>
      <c r="O1388" s="353"/>
      <c r="AA1388" s="353"/>
    </row>
    <row r="1389" spans="3:27">
      <c r="C1389" s="50"/>
      <c r="O1389" s="353"/>
      <c r="AA1389" s="353"/>
    </row>
    <row r="1390" spans="3:27">
      <c r="C1390" s="50"/>
      <c r="O1390" s="353"/>
      <c r="AA1390" s="353"/>
    </row>
    <row r="1391" spans="3:27">
      <c r="C1391" s="50"/>
      <c r="O1391" s="353"/>
      <c r="AA1391" s="353"/>
    </row>
    <row r="1392" spans="3:27">
      <c r="C1392" s="50"/>
      <c r="O1392" s="353"/>
      <c r="AA1392" s="353"/>
    </row>
    <row r="1393" spans="3:27">
      <c r="C1393" s="50"/>
      <c r="O1393" s="353"/>
      <c r="AA1393" s="353"/>
    </row>
    <row r="1394" spans="3:27">
      <c r="C1394" s="50"/>
      <c r="O1394" s="353"/>
      <c r="AA1394" s="353"/>
    </row>
    <row r="1395" spans="3:27">
      <c r="C1395" s="50"/>
      <c r="O1395" s="353"/>
      <c r="AA1395" s="353"/>
    </row>
    <row r="1396" spans="3:27">
      <c r="C1396" s="50"/>
      <c r="O1396" s="353"/>
      <c r="AA1396" s="353"/>
    </row>
    <row r="1397" spans="3:27">
      <c r="C1397" s="50"/>
      <c r="O1397" s="353"/>
      <c r="AA1397" s="353"/>
    </row>
    <row r="1398" spans="3:27">
      <c r="C1398" s="50"/>
      <c r="O1398" s="353"/>
      <c r="AA1398" s="353"/>
    </row>
    <row r="1399" spans="3:27">
      <c r="C1399" s="50"/>
      <c r="O1399" s="353"/>
      <c r="AA1399" s="353"/>
    </row>
    <row r="1400" spans="3:27">
      <c r="C1400" s="50"/>
      <c r="O1400" s="353"/>
      <c r="AA1400" s="353"/>
    </row>
    <row r="1401" spans="3:27">
      <c r="C1401" s="50"/>
      <c r="O1401" s="353"/>
      <c r="AA1401" s="353"/>
    </row>
    <row r="1402" spans="3:27">
      <c r="C1402" s="50"/>
      <c r="O1402" s="353"/>
      <c r="AA1402" s="353"/>
    </row>
    <row r="1403" spans="3:27">
      <c r="C1403" s="50"/>
      <c r="O1403" s="353"/>
      <c r="AA1403" s="353"/>
    </row>
    <row r="1404" spans="3:27">
      <c r="C1404" s="50"/>
      <c r="O1404" s="353"/>
      <c r="AA1404" s="353"/>
    </row>
    <row r="1405" spans="3:27">
      <c r="C1405" s="50"/>
      <c r="O1405" s="353"/>
      <c r="AA1405" s="353"/>
    </row>
    <row r="1406" spans="3:27">
      <c r="C1406" s="50"/>
      <c r="O1406" s="353"/>
      <c r="AA1406" s="353"/>
    </row>
    <row r="1407" spans="3:27">
      <c r="C1407" s="50"/>
      <c r="O1407" s="353"/>
      <c r="AA1407" s="353"/>
    </row>
    <row r="1408" spans="3:27">
      <c r="C1408" s="50"/>
      <c r="O1408" s="353"/>
      <c r="AA1408" s="353"/>
    </row>
    <row r="1409" spans="3:27">
      <c r="C1409" s="50"/>
      <c r="O1409" s="353"/>
      <c r="AA1409" s="353"/>
    </row>
    <row r="1410" spans="3:27">
      <c r="C1410" s="50"/>
      <c r="O1410" s="353"/>
      <c r="AA1410" s="353"/>
    </row>
    <row r="1411" spans="3:27">
      <c r="C1411" s="50"/>
      <c r="O1411" s="353"/>
      <c r="AA1411" s="353"/>
    </row>
    <row r="1412" spans="3:27">
      <c r="C1412" s="50"/>
      <c r="O1412" s="353"/>
      <c r="AA1412" s="353"/>
    </row>
    <row r="1413" spans="3:27">
      <c r="C1413" s="50"/>
      <c r="O1413" s="353"/>
      <c r="AA1413" s="353"/>
    </row>
    <row r="1414" spans="3:27">
      <c r="C1414" s="50"/>
      <c r="O1414" s="353"/>
      <c r="AA1414" s="353"/>
    </row>
    <row r="1415" spans="3:27">
      <c r="C1415" s="50"/>
      <c r="O1415" s="353"/>
      <c r="AA1415" s="353"/>
    </row>
    <row r="1416" spans="3:27">
      <c r="C1416" s="50"/>
      <c r="O1416" s="353"/>
      <c r="AA1416" s="353"/>
    </row>
    <row r="1417" spans="3:27">
      <c r="C1417" s="50"/>
      <c r="O1417" s="353"/>
      <c r="AA1417" s="353"/>
    </row>
    <row r="1418" spans="3:27">
      <c r="C1418" s="50"/>
      <c r="O1418" s="353"/>
      <c r="AA1418" s="353"/>
    </row>
    <row r="1419" spans="3:27">
      <c r="C1419" s="50"/>
      <c r="O1419" s="353"/>
      <c r="AA1419" s="353"/>
    </row>
    <row r="1420" spans="3:27">
      <c r="C1420" s="50"/>
      <c r="O1420" s="353"/>
      <c r="AA1420" s="353"/>
    </row>
    <row r="1421" spans="3:27">
      <c r="C1421" s="50"/>
      <c r="O1421" s="353"/>
      <c r="AA1421" s="353"/>
    </row>
    <row r="1422" spans="3:27">
      <c r="C1422" s="50"/>
      <c r="O1422" s="353"/>
      <c r="AA1422" s="353"/>
    </row>
    <row r="1423" spans="3:27">
      <c r="C1423" s="50"/>
      <c r="O1423" s="353"/>
      <c r="AA1423" s="353"/>
    </row>
    <row r="1424" spans="3:27">
      <c r="C1424" s="50"/>
      <c r="O1424" s="353"/>
      <c r="AA1424" s="353"/>
    </row>
    <row r="1425" spans="3:27">
      <c r="C1425" s="50"/>
      <c r="O1425" s="353"/>
      <c r="AA1425" s="353"/>
    </row>
    <row r="1426" spans="3:27">
      <c r="C1426" s="50"/>
      <c r="O1426" s="353"/>
      <c r="AA1426" s="353"/>
    </row>
    <row r="1427" spans="3:27">
      <c r="C1427" s="50"/>
      <c r="O1427" s="353"/>
      <c r="AA1427" s="353"/>
    </row>
    <row r="1428" spans="3:27">
      <c r="C1428" s="50"/>
      <c r="O1428" s="353"/>
      <c r="AA1428" s="353"/>
    </row>
    <row r="1429" spans="3:27">
      <c r="C1429" s="50"/>
      <c r="O1429" s="353"/>
      <c r="AA1429" s="353"/>
    </row>
    <row r="1430" spans="3:27">
      <c r="C1430" s="50"/>
      <c r="O1430" s="353"/>
      <c r="AA1430" s="353"/>
    </row>
    <row r="1431" spans="3:27">
      <c r="C1431" s="50"/>
      <c r="O1431" s="353"/>
      <c r="AA1431" s="353"/>
    </row>
    <row r="1432" spans="3:27">
      <c r="C1432" s="50"/>
      <c r="O1432" s="353"/>
      <c r="AA1432" s="353"/>
    </row>
    <row r="1433" spans="3:27">
      <c r="C1433" s="50"/>
      <c r="O1433" s="353"/>
      <c r="AA1433" s="353"/>
    </row>
    <row r="1434" spans="3:27">
      <c r="C1434" s="50"/>
      <c r="O1434" s="353"/>
      <c r="AA1434" s="353"/>
    </row>
    <row r="1435" spans="3:27">
      <c r="C1435" s="50"/>
      <c r="O1435" s="353"/>
      <c r="AA1435" s="353"/>
    </row>
    <row r="1436" spans="3:27">
      <c r="C1436" s="50"/>
      <c r="O1436" s="353"/>
      <c r="AA1436" s="353"/>
    </row>
    <row r="1437" spans="3:27">
      <c r="C1437" s="50"/>
      <c r="O1437" s="353"/>
      <c r="AA1437" s="353"/>
    </row>
    <row r="1438" spans="3:27">
      <c r="C1438" s="50"/>
      <c r="O1438" s="353"/>
      <c r="AA1438" s="353"/>
    </row>
    <row r="1439" spans="3:27">
      <c r="C1439" s="50"/>
      <c r="O1439" s="353"/>
      <c r="AA1439" s="353"/>
    </row>
    <row r="1440" spans="3:27">
      <c r="C1440" s="50"/>
      <c r="O1440" s="353"/>
      <c r="AA1440" s="353"/>
    </row>
    <row r="1441" spans="3:27">
      <c r="C1441" s="50"/>
      <c r="O1441" s="353"/>
      <c r="AA1441" s="353"/>
    </row>
    <row r="1442" spans="3:27">
      <c r="C1442" s="50"/>
      <c r="O1442" s="353"/>
      <c r="AA1442" s="353"/>
    </row>
    <row r="1443" spans="3:27">
      <c r="C1443" s="50"/>
      <c r="O1443" s="353"/>
      <c r="AA1443" s="353"/>
    </row>
    <row r="1444" spans="3:27">
      <c r="C1444" s="50"/>
      <c r="O1444" s="353"/>
      <c r="AA1444" s="353"/>
    </row>
    <row r="1445" spans="3:27">
      <c r="C1445" s="50"/>
      <c r="O1445" s="353"/>
      <c r="AA1445" s="353"/>
    </row>
    <row r="1446" spans="3:27">
      <c r="C1446" s="50"/>
      <c r="O1446" s="353"/>
      <c r="AA1446" s="353"/>
    </row>
    <row r="1447" spans="3:27">
      <c r="C1447" s="50"/>
      <c r="O1447" s="353"/>
      <c r="AA1447" s="353"/>
    </row>
    <row r="1448" spans="3:27">
      <c r="C1448" s="50"/>
      <c r="O1448" s="353"/>
      <c r="AA1448" s="353"/>
    </row>
    <row r="1449" spans="3:27">
      <c r="C1449" s="50"/>
      <c r="O1449" s="353"/>
      <c r="AA1449" s="353"/>
    </row>
    <row r="1450" spans="3:27">
      <c r="C1450" s="50"/>
      <c r="O1450" s="353"/>
      <c r="AA1450" s="353"/>
    </row>
    <row r="1451" spans="3:27">
      <c r="C1451" s="50"/>
      <c r="O1451" s="353"/>
      <c r="AA1451" s="353"/>
    </row>
    <row r="1452" spans="3:27">
      <c r="C1452" s="50"/>
      <c r="O1452" s="353"/>
      <c r="AA1452" s="353"/>
    </row>
    <row r="1453" spans="3:27">
      <c r="C1453" s="50"/>
      <c r="O1453" s="353"/>
      <c r="AA1453" s="353"/>
    </row>
    <row r="1454" spans="3:27">
      <c r="C1454" s="50"/>
      <c r="O1454" s="353"/>
      <c r="AA1454" s="353"/>
    </row>
    <row r="1455" spans="3:27">
      <c r="C1455" s="50"/>
      <c r="O1455" s="353"/>
      <c r="AA1455" s="353"/>
    </row>
    <row r="1456" spans="3:27">
      <c r="C1456" s="50"/>
      <c r="O1456" s="353"/>
      <c r="AA1456" s="353"/>
    </row>
    <row r="1457" spans="3:27">
      <c r="C1457" s="50"/>
      <c r="O1457" s="353"/>
      <c r="AA1457" s="353"/>
    </row>
    <row r="1458" spans="3:27">
      <c r="C1458" s="50"/>
      <c r="O1458" s="353"/>
      <c r="AA1458" s="353"/>
    </row>
    <row r="1459" spans="3:27">
      <c r="C1459" s="50"/>
      <c r="O1459" s="353"/>
      <c r="AA1459" s="353"/>
    </row>
    <row r="1460" spans="3:27">
      <c r="C1460" s="50"/>
      <c r="O1460" s="353"/>
      <c r="AA1460" s="353"/>
    </row>
    <row r="1461" spans="3:27">
      <c r="C1461" s="50"/>
      <c r="O1461" s="353"/>
      <c r="AA1461" s="353"/>
    </row>
    <row r="1462" spans="3:27">
      <c r="C1462" s="50"/>
      <c r="O1462" s="353"/>
      <c r="AA1462" s="353"/>
    </row>
    <row r="1463" spans="3:27">
      <c r="C1463" s="50"/>
      <c r="O1463" s="353"/>
      <c r="AA1463" s="353"/>
    </row>
    <row r="1464" spans="3:27">
      <c r="C1464" s="50"/>
      <c r="O1464" s="353"/>
      <c r="AA1464" s="353"/>
    </row>
    <row r="1465" spans="3:27">
      <c r="C1465" s="50"/>
      <c r="O1465" s="353"/>
      <c r="AA1465" s="353"/>
    </row>
    <row r="1466" spans="3:27">
      <c r="C1466" s="50"/>
      <c r="O1466" s="353"/>
      <c r="AA1466" s="353"/>
    </row>
    <row r="1467" spans="3:27">
      <c r="C1467" s="50"/>
      <c r="O1467" s="353"/>
      <c r="AA1467" s="353"/>
    </row>
    <row r="1468" spans="3:27">
      <c r="C1468" s="50"/>
      <c r="O1468" s="353"/>
      <c r="AA1468" s="353"/>
    </row>
    <row r="1469" spans="3:27">
      <c r="C1469" s="50"/>
      <c r="O1469" s="353"/>
      <c r="AA1469" s="353"/>
    </row>
    <row r="1470" spans="3:27">
      <c r="C1470" s="50"/>
      <c r="O1470" s="353"/>
      <c r="AA1470" s="353"/>
    </row>
    <row r="1471" spans="3:27">
      <c r="C1471" s="50"/>
      <c r="O1471" s="353"/>
      <c r="AA1471" s="353"/>
    </row>
    <row r="1472" spans="3:27">
      <c r="C1472" s="50"/>
      <c r="O1472" s="353"/>
      <c r="AA1472" s="353"/>
    </row>
    <row r="1473" spans="3:27">
      <c r="C1473" s="50"/>
      <c r="O1473" s="353"/>
      <c r="AA1473" s="353"/>
    </row>
    <row r="1474" spans="3:27">
      <c r="C1474" s="50"/>
      <c r="O1474" s="353"/>
      <c r="AA1474" s="353"/>
    </row>
    <row r="1475" spans="3:27">
      <c r="C1475" s="50"/>
      <c r="O1475" s="353"/>
      <c r="AA1475" s="353"/>
    </row>
    <row r="1476" spans="3:27">
      <c r="C1476" s="50"/>
      <c r="O1476" s="353"/>
      <c r="AA1476" s="353"/>
    </row>
    <row r="1477" spans="3:27">
      <c r="C1477" s="50"/>
      <c r="O1477" s="353"/>
      <c r="AA1477" s="353"/>
    </row>
    <row r="1478" spans="3:27">
      <c r="C1478" s="50"/>
      <c r="O1478" s="353"/>
      <c r="AA1478" s="353"/>
    </row>
    <row r="1479" spans="3:27">
      <c r="C1479" s="50"/>
      <c r="O1479" s="353"/>
      <c r="AA1479" s="353"/>
    </row>
    <row r="1480" spans="3:27">
      <c r="C1480" s="50"/>
      <c r="O1480" s="353"/>
      <c r="AA1480" s="353"/>
    </row>
    <row r="1481" spans="3:27">
      <c r="C1481" s="50"/>
      <c r="O1481" s="353"/>
      <c r="AA1481" s="353"/>
    </row>
    <row r="1482" spans="3:27">
      <c r="C1482" s="50"/>
      <c r="O1482" s="353"/>
      <c r="AA1482" s="353"/>
    </row>
    <row r="1483" spans="3:27">
      <c r="C1483" s="50"/>
      <c r="O1483" s="353"/>
      <c r="AA1483" s="353"/>
    </row>
    <row r="1484" spans="3:27">
      <c r="C1484" s="50"/>
      <c r="O1484" s="353"/>
      <c r="AA1484" s="353"/>
    </row>
    <row r="1485" spans="3:27">
      <c r="C1485" s="50"/>
      <c r="O1485" s="353"/>
      <c r="AA1485" s="353"/>
    </row>
    <row r="1486" spans="3:27">
      <c r="C1486" s="50"/>
      <c r="O1486" s="353"/>
      <c r="AA1486" s="353"/>
    </row>
    <row r="1487" spans="3:27">
      <c r="C1487" s="50"/>
      <c r="O1487" s="353"/>
      <c r="AA1487" s="353"/>
    </row>
    <row r="1488" spans="3:27">
      <c r="C1488" s="50"/>
      <c r="O1488" s="353"/>
      <c r="AA1488" s="353"/>
    </row>
    <row r="1489" spans="3:27">
      <c r="C1489" s="50"/>
      <c r="O1489" s="353"/>
      <c r="AA1489" s="353"/>
    </row>
    <row r="1490" spans="3:27">
      <c r="C1490" s="50"/>
      <c r="O1490" s="353"/>
      <c r="AA1490" s="353"/>
    </row>
    <row r="1491" spans="3:27">
      <c r="C1491" s="50"/>
      <c r="O1491" s="353"/>
      <c r="AA1491" s="353"/>
    </row>
    <row r="1492" spans="3:27">
      <c r="C1492" s="50"/>
      <c r="O1492" s="353"/>
      <c r="AA1492" s="353"/>
    </row>
    <row r="1493" spans="3:27">
      <c r="C1493" s="50"/>
      <c r="O1493" s="353"/>
      <c r="AA1493" s="353"/>
    </row>
    <row r="1494" spans="3:27">
      <c r="C1494" s="50"/>
      <c r="O1494" s="353"/>
      <c r="AA1494" s="353"/>
    </row>
    <row r="1495" spans="3:27">
      <c r="C1495" s="50"/>
      <c r="O1495" s="353"/>
      <c r="AA1495" s="353"/>
    </row>
    <row r="1496" spans="3:27">
      <c r="C1496" s="50"/>
      <c r="O1496" s="353"/>
      <c r="AA1496" s="353"/>
    </row>
    <row r="1497" spans="3:27">
      <c r="C1497" s="50"/>
      <c r="O1497" s="353"/>
      <c r="AA1497" s="353"/>
    </row>
    <row r="1498" spans="3:27">
      <c r="C1498" s="50"/>
      <c r="O1498" s="353"/>
      <c r="AA1498" s="353"/>
    </row>
    <row r="1499" spans="3:27">
      <c r="C1499" s="50"/>
      <c r="O1499" s="353"/>
      <c r="AA1499" s="353"/>
    </row>
    <row r="1500" spans="3:27">
      <c r="C1500" s="50"/>
      <c r="O1500" s="353"/>
      <c r="AA1500" s="353"/>
    </row>
    <row r="1501" spans="3:27">
      <c r="C1501" s="50"/>
      <c r="O1501" s="353"/>
      <c r="AA1501" s="353"/>
    </row>
    <row r="1502" spans="3:27">
      <c r="C1502" s="50"/>
      <c r="O1502" s="353"/>
      <c r="AA1502" s="353"/>
    </row>
    <row r="1503" spans="3:27">
      <c r="C1503" s="50"/>
      <c r="O1503" s="353"/>
      <c r="AA1503" s="353"/>
    </row>
    <row r="1504" spans="3:27">
      <c r="C1504" s="50"/>
      <c r="O1504" s="353"/>
      <c r="AA1504" s="353"/>
    </row>
    <row r="1505" spans="3:27">
      <c r="C1505" s="50"/>
      <c r="O1505" s="353"/>
      <c r="AA1505" s="353"/>
    </row>
    <row r="1506" spans="3:27">
      <c r="C1506" s="50"/>
      <c r="O1506" s="353"/>
      <c r="AA1506" s="353"/>
    </row>
    <row r="1507" spans="3:27">
      <c r="C1507" s="50"/>
      <c r="O1507" s="353"/>
      <c r="AA1507" s="353"/>
    </row>
    <row r="1508" spans="3:27">
      <c r="C1508" s="50"/>
      <c r="O1508" s="353"/>
      <c r="AA1508" s="353"/>
    </row>
    <row r="1509" spans="3:27">
      <c r="C1509" s="50"/>
      <c r="O1509" s="353"/>
      <c r="AA1509" s="353"/>
    </row>
    <row r="1510" spans="3:27">
      <c r="C1510" s="50"/>
      <c r="O1510" s="353"/>
      <c r="AA1510" s="353"/>
    </row>
    <row r="1511" spans="3:27">
      <c r="C1511" s="50"/>
      <c r="O1511" s="353"/>
      <c r="AA1511" s="353"/>
    </row>
    <row r="1512" spans="3:27">
      <c r="C1512" s="50"/>
      <c r="O1512" s="353"/>
      <c r="AA1512" s="353"/>
    </row>
    <row r="1513" spans="3:27">
      <c r="C1513" s="50"/>
      <c r="O1513" s="353"/>
      <c r="AA1513" s="353"/>
    </row>
    <row r="1514" spans="3:27">
      <c r="C1514" s="50"/>
      <c r="O1514" s="353"/>
      <c r="AA1514" s="353"/>
    </row>
    <row r="1515" spans="3:27">
      <c r="C1515" s="50"/>
      <c r="O1515" s="353"/>
      <c r="AA1515" s="353"/>
    </row>
    <row r="1516" spans="3:27">
      <c r="C1516" s="50"/>
      <c r="O1516" s="353"/>
      <c r="AA1516" s="353"/>
    </row>
    <row r="1517" spans="3:27">
      <c r="C1517" s="50"/>
      <c r="O1517" s="353"/>
      <c r="AA1517" s="353"/>
    </row>
    <row r="1518" spans="3:27">
      <c r="C1518" s="50"/>
      <c r="O1518" s="353"/>
      <c r="AA1518" s="353"/>
    </row>
    <row r="1519" spans="3:27">
      <c r="C1519" s="50"/>
      <c r="O1519" s="353"/>
      <c r="AA1519" s="353"/>
    </row>
    <row r="1520" spans="3:27">
      <c r="C1520" s="50"/>
      <c r="O1520" s="353"/>
      <c r="AA1520" s="353"/>
    </row>
    <row r="1521" spans="3:27">
      <c r="C1521" s="50"/>
      <c r="O1521" s="353"/>
      <c r="AA1521" s="353"/>
    </row>
    <row r="1522" spans="3:27">
      <c r="C1522" s="50"/>
      <c r="O1522" s="353"/>
      <c r="AA1522" s="353"/>
    </row>
    <row r="1523" spans="3:27">
      <c r="C1523" s="50"/>
      <c r="O1523" s="353"/>
      <c r="AA1523" s="353"/>
    </row>
    <row r="1524" spans="3:27">
      <c r="C1524" s="50"/>
      <c r="O1524" s="353"/>
      <c r="AA1524" s="353"/>
    </row>
    <row r="1525" spans="3:27">
      <c r="C1525" s="50"/>
      <c r="O1525" s="353"/>
      <c r="AA1525" s="353"/>
    </row>
    <row r="1526" spans="3:27">
      <c r="C1526" s="50"/>
      <c r="O1526" s="353"/>
      <c r="AA1526" s="353"/>
    </row>
    <row r="1527" spans="3:27">
      <c r="C1527" s="50"/>
      <c r="O1527" s="353"/>
      <c r="AA1527" s="353"/>
    </row>
    <row r="1528" spans="3:27">
      <c r="C1528" s="50"/>
      <c r="O1528" s="353"/>
      <c r="AA1528" s="353"/>
    </row>
    <row r="1529" spans="3:27">
      <c r="C1529" s="50"/>
      <c r="O1529" s="353"/>
      <c r="AA1529" s="353"/>
    </row>
    <row r="1530" spans="3:27">
      <c r="C1530" s="50"/>
      <c r="O1530" s="353"/>
      <c r="AA1530" s="353"/>
    </row>
    <row r="1531" spans="3:27">
      <c r="C1531" s="50"/>
      <c r="O1531" s="353"/>
      <c r="AA1531" s="353"/>
    </row>
    <row r="1532" spans="3:27">
      <c r="C1532" s="50"/>
      <c r="O1532" s="353"/>
      <c r="AA1532" s="353"/>
    </row>
    <row r="1533" spans="3:27">
      <c r="C1533" s="50"/>
      <c r="O1533" s="353"/>
      <c r="AA1533" s="353"/>
    </row>
    <row r="1534" spans="3:27">
      <c r="C1534" s="50"/>
      <c r="O1534" s="353"/>
      <c r="AA1534" s="353"/>
    </row>
    <row r="1535" spans="3:27">
      <c r="C1535" s="50"/>
      <c r="O1535" s="353"/>
      <c r="AA1535" s="353"/>
    </row>
    <row r="1536" spans="3:27">
      <c r="C1536" s="50"/>
      <c r="O1536" s="353"/>
      <c r="AA1536" s="353"/>
    </row>
    <row r="1537" spans="3:27">
      <c r="C1537" s="50"/>
      <c r="O1537" s="353"/>
      <c r="AA1537" s="353"/>
    </row>
    <row r="1538" spans="3:27">
      <c r="C1538" s="50"/>
      <c r="O1538" s="353"/>
      <c r="AA1538" s="353"/>
    </row>
    <row r="1539" spans="3:27">
      <c r="C1539" s="50"/>
      <c r="O1539" s="353"/>
      <c r="AA1539" s="353"/>
    </row>
    <row r="1540" spans="3:27">
      <c r="C1540" s="50"/>
      <c r="O1540" s="353"/>
      <c r="AA1540" s="353"/>
    </row>
    <row r="1541" spans="3:27">
      <c r="C1541" s="50"/>
      <c r="O1541" s="353"/>
      <c r="AA1541" s="353"/>
    </row>
    <row r="1542" spans="3:27">
      <c r="C1542" s="50"/>
      <c r="O1542" s="353"/>
      <c r="AA1542" s="353"/>
    </row>
    <row r="1543" spans="3:27">
      <c r="C1543" s="50"/>
      <c r="O1543" s="353"/>
      <c r="AA1543" s="353"/>
    </row>
    <row r="1544" spans="3:27">
      <c r="C1544" s="50"/>
      <c r="O1544" s="353"/>
      <c r="AA1544" s="353"/>
    </row>
    <row r="1545" spans="3:27">
      <c r="C1545" s="50"/>
      <c r="O1545" s="353"/>
      <c r="AA1545" s="353"/>
    </row>
    <row r="1546" spans="3:27">
      <c r="C1546" s="50"/>
      <c r="O1546" s="353"/>
      <c r="AA1546" s="353"/>
    </row>
    <row r="1547" spans="3:27">
      <c r="C1547" s="50"/>
      <c r="O1547" s="353"/>
      <c r="AA1547" s="353"/>
    </row>
    <row r="1548" spans="3:27">
      <c r="C1548" s="50"/>
      <c r="O1548" s="353"/>
      <c r="AA1548" s="353"/>
    </row>
    <row r="1549" spans="3:27">
      <c r="C1549" s="50"/>
      <c r="O1549" s="353"/>
      <c r="AA1549" s="353"/>
    </row>
    <row r="1550" spans="3:27">
      <c r="C1550" s="50"/>
      <c r="O1550" s="353"/>
      <c r="AA1550" s="353"/>
    </row>
    <row r="1551" spans="3:27">
      <c r="C1551" s="50"/>
      <c r="O1551" s="353"/>
      <c r="AA1551" s="353"/>
    </row>
    <row r="1552" spans="3:27">
      <c r="C1552" s="50"/>
      <c r="O1552" s="353"/>
      <c r="AA1552" s="353"/>
    </row>
    <row r="1553" spans="3:27">
      <c r="C1553" s="50"/>
      <c r="O1553" s="353"/>
      <c r="AA1553" s="353"/>
    </row>
    <row r="1554" spans="3:27">
      <c r="C1554" s="50"/>
      <c r="O1554" s="353"/>
      <c r="AA1554" s="353"/>
    </row>
    <row r="1555" spans="3:27">
      <c r="C1555" s="50"/>
      <c r="O1555" s="353"/>
      <c r="AA1555" s="353"/>
    </row>
    <row r="1556" spans="3:27">
      <c r="C1556" s="50"/>
      <c r="O1556" s="353"/>
      <c r="AA1556" s="353"/>
    </row>
    <row r="1557" spans="3:27">
      <c r="C1557" s="50"/>
      <c r="O1557" s="353"/>
      <c r="AA1557" s="353"/>
    </row>
    <row r="1558" spans="3:27">
      <c r="C1558" s="50"/>
      <c r="O1558" s="353"/>
      <c r="AA1558" s="353"/>
    </row>
    <row r="1559" spans="3:27">
      <c r="C1559" s="50"/>
      <c r="O1559" s="353"/>
      <c r="AA1559" s="353"/>
    </row>
    <row r="1560" spans="3:27">
      <c r="C1560" s="50"/>
      <c r="O1560" s="353"/>
      <c r="AA1560" s="353"/>
    </row>
    <row r="1561" spans="3:27">
      <c r="C1561" s="50"/>
      <c r="O1561" s="353"/>
      <c r="AA1561" s="353"/>
    </row>
    <row r="1562" spans="3:27">
      <c r="C1562" s="50"/>
      <c r="O1562" s="353"/>
      <c r="AA1562" s="353"/>
    </row>
    <row r="1563" spans="3:27">
      <c r="C1563" s="50"/>
      <c r="O1563" s="353"/>
      <c r="AA1563" s="353"/>
    </row>
    <row r="1564" spans="3:27">
      <c r="C1564" s="50"/>
      <c r="O1564" s="353"/>
      <c r="AA1564" s="353"/>
    </row>
    <row r="1565" spans="3:27">
      <c r="C1565" s="50"/>
      <c r="O1565" s="353"/>
      <c r="AA1565" s="353"/>
    </row>
    <row r="1566" spans="3:27">
      <c r="C1566" s="50"/>
      <c r="O1566" s="353"/>
      <c r="AA1566" s="353"/>
    </row>
    <row r="1567" spans="3:27">
      <c r="C1567" s="50"/>
      <c r="O1567" s="353"/>
      <c r="AA1567" s="353"/>
    </row>
    <row r="1568" spans="3:27">
      <c r="C1568" s="50"/>
      <c r="O1568" s="353"/>
      <c r="AA1568" s="353"/>
    </row>
    <row r="1569" spans="3:27">
      <c r="C1569" s="50"/>
      <c r="O1569" s="353"/>
      <c r="AA1569" s="353"/>
    </row>
    <row r="1570" spans="3:27">
      <c r="C1570" s="50"/>
      <c r="O1570" s="353"/>
      <c r="AA1570" s="353"/>
    </row>
    <row r="1571" spans="3:27">
      <c r="C1571" s="50"/>
      <c r="O1571" s="353"/>
      <c r="AA1571" s="353"/>
    </row>
    <row r="1572" spans="3:27">
      <c r="C1572" s="50"/>
      <c r="O1572" s="353"/>
      <c r="AA1572" s="353"/>
    </row>
    <row r="1573" spans="3:27">
      <c r="C1573" s="50"/>
      <c r="O1573" s="353"/>
      <c r="AA1573" s="353"/>
    </row>
    <row r="1574" spans="3:27">
      <c r="C1574" s="50"/>
      <c r="O1574" s="353"/>
      <c r="AA1574" s="353"/>
    </row>
    <row r="1575" spans="3:27">
      <c r="C1575" s="50"/>
      <c r="O1575" s="353"/>
      <c r="AA1575" s="353"/>
    </row>
    <row r="1576" spans="3:27">
      <c r="C1576" s="50"/>
      <c r="O1576" s="353"/>
      <c r="AA1576" s="353"/>
    </row>
    <row r="1577" spans="3:27">
      <c r="C1577" s="50"/>
      <c r="O1577" s="353"/>
      <c r="AA1577" s="353"/>
    </row>
    <row r="1578" spans="3:27">
      <c r="C1578" s="50"/>
      <c r="O1578" s="353"/>
      <c r="AA1578" s="353"/>
    </row>
    <row r="1579" spans="3:27">
      <c r="C1579" s="50"/>
      <c r="O1579" s="353"/>
      <c r="AA1579" s="353"/>
    </row>
    <row r="1580" spans="3:27">
      <c r="C1580" s="50"/>
      <c r="O1580" s="353"/>
      <c r="AA1580" s="353"/>
    </row>
    <row r="1581" spans="3:27">
      <c r="C1581" s="50"/>
      <c r="O1581" s="353"/>
      <c r="AA1581" s="353"/>
    </row>
    <row r="1582" spans="3:27">
      <c r="C1582" s="50"/>
      <c r="O1582" s="353"/>
      <c r="AA1582" s="353"/>
    </row>
    <row r="1583" spans="3:27">
      <c r="C1583" s="50"/>
      <c r="O1583" s="353"/>
      <c r="AA1583" s="353"/>
    </row>
    <row r="1584" spans="3:27">
      <c r="C1584" s="50"/>
      <c r="O1584" s="353"/>
      <c r="AA1584" s="353"/>
    </row>
    <row r="1585" spans="3:27">
      <c r="C1585" s="50"/>
      <c r="O1585" s="353"/>
      <c r="AA1585" s="353"/>
    </row>
    <row r="1586" spans="3:27">
      <c r="C1586" s="50"/>
      <c r="O1586" s="353"/>
      <c r="AA1586" s="353"/>
    </row>
    <row r="1587" spans="3:27">
      <c r="C1587" s="50"/>
      <c r="O1587" s="353"/>
      <c r="AA1587" s="353"/>
    </row>
    <row r="1588" spans="3:27">
      <c r="C1588" s="50"/>
      <c r="O1588" s="353"/>
      <c r="AA1588" s="353"/>
    </row>
    <row r="1589" spans="3:27">
      <c r="C1589" s="50"/>
      <c r="O1589" s="353"/>
      <c r="AA1589" s="353"/>
    </row>
    <row r="1590" spans="3:27">
      <c r="C1590" s="50"/>
      <c r="O1590" s="353"/>
      <c r="AA1590" s="353"/>
    </row>
    <row r="1591" spans="3:27">
      <c r="C1591" s="50"/>
      <c r="O1591" s="353"/>
      <c r="AA1591" s="353"/>
    </row>
    <row r="1592" spans="3:27">
      <c r="C1592" s="50"/>
      <c r="O1592" s="353"/>
      <c r="AA1592" s="353"/>
    </row>
    <row r="1593" spans="3:27">
      <c r="C1593" s="50"/>
      <c r="O1593" s="353"/>
      <c r="AA1593" s="353"/>
    </row>
    <row r="1594" spans="3:27">
      <c r="C1594" s="50"/>
      <c r="O1594" s="353"/>
      <c r="AA1594" s="353"/>
    </row>
    <row r="1595" spans="3:27">
      <c r="C1595" s="50"/>
      <c r="O1595" s="353"/>
      <c r="AA1595" s="353"/>
    </row>
    <row r="1596" spans="3:27">
      <c r="C1596" s="50"/>
      <c r="O1596" s="353"/>
      <c r="AA1596" s="353"/>
    </row>
    <row r="1597" spans="3:27">
      <c r="C1597" s="50"/>
      <c r="O1597" s="353"/>
      <c r="AA1597" s="353"/>
    </row>
    <row r="1598" spans="3:27">
      <c r="C1598" s="50"/>
      <c r="O1598" s="353"/>
      <c r="AA1598" s="353"/>
    </row>
    <row r="1599" spans="3:27">
      <c r="C1599" s="50"/>
      <c r="O1599" s="353"/>
      <c r="AA1599" s="353"/>
    </row>
    <row r="1600" spans="3:27">
      <c r="C1600" s="50"/>
      <c r="O1600" s="353"/>
      <c r="AA1600" s="353"/>
    </row>
    <row r="1601" spans="3:27">
      <c r="C1601" s="50"/>
      <c r="O1601" s="353"/>
      <c r="AA1601" s="353"/>
    </row>
    <row r="1602" spans="3:27">
      <c r="C1602" s="50"/>
      <c r="O1602" s="353"/>
      <c r="AA1602" s="353"/>
    </row>
    <row r="1603" spans="3:27">
      <c r="C1603" s="50"/>
      <c r="O1603" s="353"/>
      <c r="AA1603" s="353"/>
    </row>
    <row r="1604" spans="3:27">
      <c r="C1604" s="50"/>
      <c r="O1604" s="353"/>
      <c r="AA1604" s="353"/>
    </row>
    <row r="1605" spans="3:27">
      <c r="C1605" s="50"/>
      <c r="O1605" s="353"/>
      <c r="AA1605" s="353"/>
    </row>
    <row r="1606" spans="3:27">
      <c r="C1606" s="50"/>
      <c r="O1606" s="353"/>
      <c r="AA1606" s="353"/>
    </row>
    <row r="1607" spans="3:27">
      <c r="C1607" s="50"/>
      <c r="O1607" s="353"/>
      <c r="AA1607" s="353"/>
    </row>
    <row r="1608" spans="3:27">
      <c r="C1608" s="50"/>
      <c r="O1608" s="353"/>
      <c r="AA1608" s="353"/>
    </row>
    <row r="1609" spans="3:27">
      <c r="C1609" s="50"/>
      <c r="O1609" s="353"/>
      <c r="AA1609" s="353"/>
    </row>
    <row r="1610" spans="3:27">
      <c r="C1610" s="50"/>
      <c r="O1610" s="353"/>
      <c r="AA1610" s="353"/>
    </row>
    <row r="1611" spans="3:27">
      <c r="C1611" s="50"/>
      <c r="O1611" s="353"/>
      <c r="AA1611" s="353"/>
    </row>
    <row r="1612" spans="3:27">
      <c r="C1612" s="50"/>
      <c r="O1612" s="353"/>
      <c r="AA1612" s="353"/>
    </row>
    <row r="1613" spans="3:27">
      <c r="C1613" s="50"/>
      <c r="O1613" s="353"/>
      <c r="AA1613" s="353"/>
    </row>
    <row r="1614" spans="3:27">
      <c r="C1614" s="50"/>
      <c r="O1614" s="353"/>
      <c r="AA1614" s="353"/>
    </row>
    <row r="1615" spans="3:27">
      <c r="C1615" s="50"/>
      <c r="O1615" s="353"/>
      <c r="AA1615" s="353"/>
    </row>
    <row r="1616" spans="3:27">
      <c r="C1616" s="50"/>
      <c r="O1616" s="353"/>
      <c r="AA1616" s="353"/>
    </row>
    <row r="1617" spans="3:27">
      <c r="C1617" s="50"/>
      <c r="O1617" s="353"/>
      <c r="AA1617" s="353"/>
    </row>
    <row r="1618" spans="3:27">
      <c r="C1618" s="50"/>
      <c r="O1618" s="353"/>
      <c r="AA1618" s="353"/>
    </row>
    <row r="1619" spans="3:27">
      <c r="C1619" s="50"/>
      <c r="O1619" s="353"/>
      <c r="AA1619" s="353"/>
    </row>
    <row r="1620" spans="3:27">
      <c r="C1620" s="50"/>
      <c r="O1620" s="353"/>
      <c r="AA1620" s="353"/>
    </row>
    <row r="1621" spans="3:27">
      <c r="C1621" s="50"/>
      <c r="O1621" s="353"/>
      <c r="AA1621" s="353"/>
    </row>
    <row r="1622" spans="3:27">
      <c r="C1622" s="50"/>
      <c r="O1622" s="353"/>
      <c r="AA1622" s="353"/>
    </row>
    <row r="1623" spans="3:27">
      <c r="C1623" s="50"/>
      <c r="O1623" s="353"/>
      <c r="AA1623" s="353"/>
    </row>
    <row r="1624" spans="3:27">
      <c r="C1624" s="50"/>
      <c r="O1624" s="353"/>
      <c r="AA1624" s="353"/>
    </row>
    <row r="1625" spans="3:27">
      <c r="C1625" s="50"/>
      <c r="O1625" s="353"/>
      <c r="AA1625" s="353"/>
    </row>
    <row r="1626" spans="3:27">
      <c r="C1626" s="50"/>
      <c r="O1626" s="353"/>
      <c r="AA1626" s="353"/>
    </row>
    <row r="1627" spans="3:27">
      <c r="C1627" s="50"/>
      <c r="O1627" s="353"/>
      <c r="AA1627" s="353"/>
    </row>
    <row r="1628" spans="3:27">
      <c r="C1628" s="50"/>
      <c r="O1628" s="353"/>
      <c r="AA1628" s="353"/>
    </row>
    <row r="1629" spans="3:27">
      <c r="C1629" s="50"/>
      <c r="O1629" s="353"/>
      <c r="AA1629" s="353"/>
    </row>
    <row r="1630" spans="3:27">
      <c r="C1630" s="50"/>
      <c r="O1630" s="353"/>
      <c r="AA1630" s="353"/>
    </row>
    <row r="1631" spans="3:27">
      <c r="C1631" s="50"/>
      <c r="O1631" s="353"/>
      <c r="AA1631" s="353"/>
    </row>
    <row r="1632" spans="3:27">
      <c r="C1632" s="50"/>
      <c r="O1632" s="353"/>
      <c r="AA1632" s="353"/>
    </row>
    <row r="1633" spans="3:27">
      <c r="C1633" s="50"/>
      <c r="O1633" s="353"/>
      <c r="AA1633" s="353"/>
    </row>
    <row r="1634" spans="3:27">
      <c r="C1634" s="50"/>
      <c r="O1634" s="353"/>
      <c r="AA1634" s="353"/>
    </row>
    <row r="1635" spans="3:27">
      <c r="C1635" s="50"/>
      <c r="O1635" s="353"/>
      <c r="AA1635" s="353"/>
    </row>
    <row r="1636" spans="3:27">
      <c r="C1636" s="50"/>
      <c r="O1636" s="353"/>
      <c r="AA1636" s="353"/>
    </row>
    <row r="1637" spans="3:27">
      <c r="C1637" s="50"/>
      <c r="O1637" s="353"/>
      <c r="AA1637" s="353"/>
    </row>
    <row r="1638" spans="3:27">
      <c r="C1638" s="50"/>
      <c r="O1638" s="353"/>
      <c r="AA1638" s="353"/>
    </row>
    <row r="1639" spans="3:27">
      <c r="C1639" s="50"/>
      <c r="O1639" s="353"/>
      <c r="AA1639" s="353"/>
    </row>
    <row r="1640" spans="3:27">
      <c r="C1640" s="50"/>
      <c r="O1640" s="353"/>
      <c r="AA1640" s="353"/>
    </row>
    <row r="1641" spans="3:27">
      <c r="C1641" s="50"/>
      <c r="O1641" s="353"/>
      <c r="AA1641" s="353"/>
    </row>
    <row r="1642" spans="3:27">
      <c r="C1642" s="50"/>
      <c r="O1642" s="353"/>
      <c r="AA1642" s="353"/>
    </row>
    <row r="1643" spans="3:27">
      <c r="C1643" s="50"/>
      <c r="O1643" s="353"/>
      <c r="AA1643" s="353"/>
    </row>
    <row r="1644" spans="3:27">
      <c r="C1644" s="50"/>
      <c r="O1644" s="353"/>
      <c r="AA1644" s="353"/>
    </row>
    <row r="1645" spans="3:27">
      <c r="C1645" s="50"/>
      <c r="O1645" s="353"/>
      <c r="AA1645" s="353"/>
    </row>
    <row r="1646" spans="3:27">
      <c r="C1646" s="50"/>
      <c r="O1646" s="353"/>
      <c r="AA1646" s="353"/>
    </row>
    <row r="1647" spans="3:27">
      <c r="C1647" s="50"/>
      <c r="O1647" s="353"/>
      <c r="AA1647" s="353"/>
    </row>
    <row r="1648" spans="3:27">
      <c r="C1648" s="50"/>
      <c r="O1648" s="353"/>
      <c r="AA1648" s="353"/>
    </row>
    <row r="1649" spans="3:27">
      <c r="C1649" s="50"/>
      <c r="O1649" s="353"/>
      <c r="AA1649" s="353"/>
    </row>
    <row r="1650" spans="3:27">
      <c r="C1650" s="50"/>
      <c r="O1650" s="353"/>
      <c r="AA1650" s="353"/>
    </row>
    <row r="1651" spans="3:27">
      <c r="C1651" s="50"/>
      <c r="O1651" s="353"/>
      <c r="AA1651" s="353"/>
    </row>
    <row r="1652" spans="3:27">
      <c r="C1652" s="50"/>
      <c r="O1652" s="353"/>
      <c r="AA1652" s="353"/>
    </row>
    <row r="1653" spans="3:27">
      <c r="C1653" s="50"/>
      <c r="O1653" s="353"/>
      <c r="AA1653" s="353"/>
    </row>
    <row r="1654" spans="3:27">
      <c r="C1654" s="50"/>
      <c r="O1654" s="353"/>
      <c r="AA1654" s="353"/>
    </row>
    <row r="1655" spans="3:27">
      <c r="C1655" s="50"/>
      <c r="O1655" s="353"/>
      <c r="AA1655" s="353"/>
    </row>
    <row r="1656" spans="3:27">
      <c r="C1656" s="50"/>
      <c r="O1656" s="353"/>
      <c r="AA1656" s="353"/>
    </row>
    <row r="1657" spans="3:27">
      <c r="C1657" s="50"/>
      <c r="O1657" s="353"/>
      <c r="AA1657" s="353"/>
    </row>
    <row r="1658" spans="3:27">
      <c r="C1658" s="50"/>
      <c r="O1658" s="353"/>
      <c r="AA1658" s="353"/>
    </row>
    <row r="1659" spans="3:27">
      <c r="C1659" s="50"/>
      <c r="O1659" s="353"/>
      <c r="AA1659" s="353"/>
    </row>
    <row r="1660" spans="3:27">
      <c r="C1660" s="50"/>
      <c r="O1660" s="353"/>
      <c r="AA1660" s="353"/>
    </row>
    <row r="1661" spans="3:27">
      <c r="C1661" s="50"/>
      <c r="O1661" s="353"/>
      <c r="AA1661" s="353"/>
    </row>
    <row r="1662" spans="3:27">
      <c r="C1662" s="50"/>
      <c r="O1662" s="353"/>
      <c r="AA1662" s="353"/>
    </row>
    <row r="1663" spans="3:27">
      <c r="C1663" s="50"/>
      <c r="O1663" s="353"/>
      <c r="AA1663" s="353"/>
    </row>
    <row r="1664" spans="3:27">
      <c r="C1664" s="50"/>
      <c r="O1664" s="353"/>
      <c r="AA1664" s="353"/>
    </row>
    <row r="1665" spans="3:27">
      <c r="C1665" s="50"/>
      <c r="O1665" s="353"/>
      <c r="AA1665" s="353"/>
    </row>
    <row r="1666" spans="3:27">
      <c r="C1666" s="50"/>
      <c r="O1666" s="353"/>
      <c r="AA1666" s="353"/>
    </row>
    <row r="1667" spans="3:27">
      <c r="C1667" s="50"/>
      <c r="O1667" s="353"/>
      <c r="AA1667" s="353"/>
    </row>
    <row r="1668" spans="3:27">
      <c r="C1668" s="50"/>
      <c r="O1668" s="353"/>
      <c r="AA1668" s="353"/>
    </row>
    <row r="1669" spans="3:27">
      <c r="C1669" s="50"/>
      <c r="O1669" s="353"/>
      <c r="AA1669" s="353"/>
    </row>
    <row r="1670" spans="3:27">
      <c r="C1670" s="50"/>
      <c r="O1670" s="353"/>
      <c r="AA1670" s="353"/>
    </row>
    <row r="1671" spans="3:27">
      <c r="C1671" s="50"/>
      <c r="O1671" s="353"/>
      <c r="AA1671" s="353"/>
    </row>
    <row r="1672" spans="3:27">
      <c r="C1672" s="50"/>
      <c r="O1672" s="353"/>
      <c r="AA1672" s="353"/>
    </row>
    <row r="1673" spans="3:27">
      <c r="C1673" s="50"/>
      <c r="O1673" s="353"/>
      <c r="AA1673" s="353"/>
    </row>
    <row r="1674" spans="3:27">
      <c r="C1674" s="50"/>
      <c r="O1674" s="353"/>
      <c r="AA1674" s="353"/>
    </row>
    <row r="1675" spans="3:27">
      <c r="C1675" s="50"/>
      <c r="O1675" s="353"/>
      <c r="AA1675" s="353"/>
    </row>
    <row r="1676" spans="3:27">
      <c r="C1676" s="50"/>
      <c r="O1676" s="353"/>
      <c r="AA1676" s="353"/>
    </row>
    <row r="1677" spans="3:27">
      <c r="C1677" s="50"/>
      <c r="O1677" s="353"/>
      <c r="AA1677" s="353"/>
    </row>
    <row r="1678" spans="3:27">
      <c r="C1678" s="50"/>
      <c r="O1678" s="353"/>
      <c r="AA1678" s="353"/>
    </row>
    <row r="1679" spans="3:27">
      <c r="C1679" s="50"/>
      <c r="O1679" s="353"/>
      <c r="AA1679" s="353"/>
    </row>
    <row r="1680" spans="3:27">
      <c r="C1680" s="50"/>
      <c r="O1680" s="353"/>
      <c r="AA1680" s="353"/>
    </row>
    <row r="1681" spans="3:27">
      <c r="C1681" s="50"/>
      <c r="O1681" s="353"/>
      <c r="AA1681" s="353"/>
    </row>
    <row r="1682" spans="3:27">
      <c r="C1682" s="50"/>
      <c r="O1682" s="353"/>
      <c r="AA1682" s="353"/>
    </row>
    <row r="1683" spans="3:27">
      <c r="C1683" s="50"/>
      <c r="O1683" s="353"/>
      <c r="AA1683" s="353"/>
    </row>
    <row r="1684" spans="3:27">
      <c r="C1684" s="50"/>
      <c r="O1684" s="353"/>
      <c r="AA1684" s="353"/>
    </row>
    <row r="1685" spans="3:27">
      <c r="C1685" s="50"/>
      <c r="O1685" s="353"/>
      <c r="AA1685" s="353"/>
    </row>
    <row r="1686" spans="3:27">
      <c r="C1686" s="50"/>
      <c r="O1686" s="353"/>
      <c r="AA1686" s="353"/>
    </row>
    <row r="1687" spans="3:27">
      <c r="C1687" s="50"/>
      <c r="O1687" s="353"/>
      <c r="AA1687" s="353"/>
    </row>
    <row r="1688" spans="3:27">
      <c r="C1688" s="50"/>
      <c r="O1688" s="353"/>
      <c r="AA1688" s="353"/>
    </row>
    <row r="1689" spans="3:27">
      <c r="C1689" s="50"/>
      <c r="O1689" s="353"/>
      <c r="AA1689" s="353"/>
    </row>
    <row r="1690" spans="3:27">
      <c r="C1690" s="50"/>
      <c r="O1690" s="353"/>
      <c r="AA1690" s="353"/>
    </row>
    <row r="1691" spans="3:27">
      <c r="C1691" s="50"/>
      <c r="O1691" s="353"/>
      <c r="AA1691" s="353"/>
    </row>
    <row r="1692" spans="3:27">
      <c r="C1692" s="50"/>
      <c r="O1692" s="353"/>
      <c r="AA1692" s="353"/>
    </row>
    <row r="1693" spans="3:27">
      <c r="C1693" s="50"/>
      <c r="O1693" s="353"/>
      <c r="AA1693" s="353"/>
    </row>
    <row r="1694" spans="3:27">
      <c r="C1694" s="50"/>
      <c r="O1694" s="353"/>
      <c r="AA1694" s="353"/>
    </row>
    <row r="1695" spans="3:27">
      <c r="C1695" s="50"/>
      <c r="O1695" s="353"/>
      <c r="AA1695" s="353"/>
    </row>
    <row r="1696" spans="3:27">
      <c r="C1696" s="50"/>
      <c r="O1696" s="353"/>
      <c r="AA1696" s="353"/>
    </row>
    <row r="1697" spans="3:27">
      <c r="C1697" s="50"/>
      <c r="O1697" s="353"/>
      <c r="AA1697" s="353"/>
    </row>
    <row r="1698" spans="3:27">
      <c r="C1698" s="50"/>
      <c r="O1698" s="353"/>
      <c r="AA1698" s="353"/>
    </row>
    <row r="1699" spans="3:27">
      <c r="C1699" s="50"/>
      <c r="O1699" s="353"/>
      <c r="AA1699" s="353"/>
    </row>
    <row r="1700" spans="3:27">
      <c r="C1700" s="50"/>
      <c r="O1700" s="353"/>
      <c r="AA1700" s="353"/>
    </row>
    <row r="1701" spans="3:27">
      <c r="C1701" s="50"/>
      <c r="O1701" s="353"/>
      <c r="AA1701" s="353"/>
    </row>
    <row r="1702" spans="3:27">
      <c r="C1702" s="50"/>
      <c r="O1702" s="353"/>
      <c r="AA1702" s="353"/>
    </row>
    <row r="1703" spans="3:27">
      <c r="C1703" s="50"/>
      <c r="O1703" s="353"/>
      <c r="AA1703" s="353"/>
    </row>
    <row r="1704" spans="3:27">
      <c r="C1704" s="50"/>
      <c r="O1704" s="353"/>
      <c r="AA1704" s="353"/>
    </row>
    <row r="1705" spans="3:27">
      <c r="C1705" s="50"/>
      <c r="O1705" s="353"/>
      <c r="AA1705" s="353"/>
    </row>
    <row r="1706" spans="3:27">
      <c r="C1706" s="50"/>
      <c r="O1706" s="353"/>
      <c r="AA1706" s="353"/>
    </row>
    <row r="1707" spans="3:27">
      <c r="C1707" s="50"/>
      <c r="O1707" s="353"/>
      <c r="AA1707" s="353"/>
    </row>
    <row r="1708" spans="3:27">
      <c r="C1708" s="50"/>
      <c r="O1708" s="353"/>
      <c r="AA1708" s="353"/>
    </row>
    <row r="1709" spans="3:27">
      <c r="C1709" s="50"/>
      <c r="O1709" s="353"/>
      <c r="AA1709" s="353"/>
    </row>
    <row r="1710" spans="3:27">
      <c r="C1710" s="50"/>
      <c r="O1710" s="353"/>
      <c r="AA1710" s="353"/>
    </row>
    <row r="1711" spans="3:27">
      <c r="C1711" s="50"/>
      <c r="O1711" s="353"/>
      <c r="AA1711" s="353"/>
    </row>
    <row r="1712" spans="3:27">
      <c r="C1712" s="50"/>
      <c r="O1712" s="353"/>
      <c r="AA1712" s="353"/>
    </row>
    <row r="1713" spans="3:27">
      <c r="C1713" s="50"/>
      <c r="O1713" s="353"/>
      <c r="AA1713" s="353"/>
    </row>
    <row r="1714" spans="3:27">
      <c r="C1714" s="50"/>
      <c r="O1714" s="353"/>
      <c r="AA1714" s="353"/>
    </row>
    <row r="1715" spans="3:27">
      <c r="C1715" s="50"/>
      <c r="O1715" s="353"/>
      <c r="AA1715" s="353"/>
    </row>
    <row r="1716" spans="3:27">
      <c r="C1716" s="50"/>
      <c r="O1716" s="353"/>
      <c r="AA1716" s="353"/>
    </row>
    <row r="1717" spans="3:27">
      <c r="C1717" s="50"/>
      <c r="O1717" s="353"/>
      <c r="AA1717" s="353"/>
    </row>
    <row r="1718" spans="3:27">
      <c r="C1718" s="50"/>
      <c r="O1718" s="353"/>
      <c r="AA1718" s="353"/>
    </row>
    <row r="1719" spans="3:27">
      <c r="C1719" s="50"/>
      <c r="O1719" s="353"/>
      <c r="AA1719" s="353"/>
    </row>
    <row r="1720" spans="3:27">
      <c r="C1720" s="50"/>
      <c r="O1720" s="353"/>
      <c r="AA1720" s="353"/>
    </row>
    <row r="1721" spans="3:27">
      <c r="C1721" s="50"/>
      <c r="O1721" s="353"/>
      <c r="AA1721" s="353"/>
    </row>
    <row r="1722" spans="3:27">
      <c r="C1722" s="50"/>
      <c r="O1722" s="353"/>
      <c r="AA1722" s="353"/>
    </row>
    <row r="1723" spans="3:27">
      <c r="C1723" s="50"/>
      <c r="O1723" s="353"/>
      <c r="AA1723" s="353"/>
    </row>
    <row r="1724" spans="3:27">
      <c r="C1724" s="50"/>
      <c r="O1724" s="353"/>
      <c r="AA1724" s="353"/>
    </row>
    <row r="1725" spans="3:27">
      <c r="C1725" s="50"/>
      <c r="O1725" s="353"/>
      <c r="AA1725" s="353"/>
    </row>
    <row r="1726" spans="3:27">
      <c r="C1726" s="50"/>
      <c r="O1726" s="353"/>
      <c r="AA1726" s="353"/>
    </row>
    <row r="1727" spans="3:27">
      <c r="C1727" s="50"/>
      <c r="O1727" s="353"/>
      <c r="AA1727" s="353"/>
    </row>
    <row r="1728" spans="3:27">
      <c r="C1728" s="50"/>
      <c r="O1728" s="353"/>
      <c r="AA1728" s="353"/>
    </row>
    <row r="1729" spans="3:27">
      <c r="C1729" s="50"/>
      <c r="O1729" s="353"/>
      <c r="AA1729" s="353"/>
    </row>
    <row r="1730" spans="3:27">
      <c r="C1730" s="50"/>
      <c r="O1730" s="353"/>
      <c r="AA1730" s="353"/>
    </row>
    <row r="1731" spans="3:27">
      <c r="C1731" s="50"/>
      <c r="O1731" s="353"/>
      <c r="AA1731" s="353"/>
    </row>
    <row r="1732" spans="3:27">
      <c r="C1732" s="50"/>
      <c r="O1732" s="353"/>
      <c r="AA1732" s="353"/>
    </row>
    <row r="1733" spans="3:27">
      <c r="C1733" s="50"/>
      <c r="O1733" s="353"/>
      <c r="AA1733" s="353"/>
    </row>
    <row r="1734" spans="3:27">
      <c r="C1734" s="50"/>
      <c r="O1734" s="353"/>
      <c r="AA1734" s="353"/>
    </row>
    <row r="1735" spans="3:27">
      <c r="C1735" s="50"/>
      <c r="O1735" s="353"/>
      <c r="AA1735" s="353"/>
    </row>
    <row r="1736" spans="3:27">
      <c r="C1736" s="50"/>
      <c r="O1736" s="353"/>
      <c r="AA1736" s="353"/>
    </row>
    <row r="1737" spans="3:27">
      <c r="C1737" s="50"/>
      <c r="O1737" s="353"/>
      <c r="AA1737" s="353"/>
    </row>
    <row r="1738" spans="3:27">
      <c r="C1738" s="50"/>
      <c r="O1738" s="353"/>
      <c r="AA1738" s="353"/>
    </row>
    <row r="1739" spans="3:27">
      <c r="C1739" s="50"/>
      <c r="O1739" s="353"/>
      <c r="AA1739" s="353"/>
    </row>
    <row r="1740" spans="3:27">
      <c r="C1740" s="50"/>
      <c r="O1740" s="353"/>
      <c r="AA1740" s="353"/>
    </row>
    <row r="1741" spans="3:27">
      <c r="C1741" s="50"/>
      <c r="O1741" s="353"/>
      <c r="AA1741" s="353"/>
    </row>
    <row r="1742" spans="3:27">
      <c r="C1742" s="50"/>
      <c r="O1742" s="353"/>
      <c r="AA1742" s="353"/>
    </row>
    <row r="1743" spans="3:27">
      <c r="C1743" s="50"/>
      <c r="O1743" s="353"/>
      <c r="AA1743" s="353"/>
    </row>
    <row r="1744" spans="3:27">
      <c r="C1744" s="50"/>
      <c r="O1744" s="353"/>
      <c r="AA1744" s="353"/>
    </row>
    <row r="1745" spans="3:27">
      <c r="C1745" s="50"/>
      <c r="O1745" s="353"/>
      <c r="AA1745" s="353"/>
    </row>
    <row r="1746" spans="3:27">
      <c r="C1746" s="50"/>
      <c r="O1746" s="353"/>
      <c r="AA1746" s="353"/>
    </row>
    <row r="1747" spans="3:27">
      <c r="C1747" s="50"/>
      <c r="O1747" s="353"/>
      <c r="AA1747" s="353"/>
    </row>
    <row r="1748" spans="3:27">
      <c r="C1748" s="50"/>
      <c r="O1748" s="353"/>
      <c r="AA1748" s="353"/>
    </row>
    <row r="1749" spans="3:27">
      <c r="C1749" s="50"/>
      <c r="O1749" s="353"/>
      <c r="AA1749" s="353"/>
    </row>
    <row r="1750" spans="3:27">
      <c r="C1750" s="50"/>
      <c r="O1750" s="353"/>
      <c r="AA1750" s="353"/>
    </row>
    <row r="1751" spans="3:27">
      <c r="C1751" s="50"/>
      <c r="O1751" s="353"/>
      <c r="AA1751" s="353"/>
    </row>
    <row r="1752" spans="3:27">
      <c r="C1752" s="50"/>
      <c r="O1752" s="353"/>
      <c r="AA1752" s="353"/>
    </row>
    <row r="1753" spans="3:27">
      <c r="C1753" s="50"/>
      <c r="O1753" s="353"/>
      <c r="AA1753" s="353"/>
    </row>
    <row r="1754" spans="3:27">
      <c r="C1754" s="50"/>
      <c r="O1754" s="353"/>
      <c r="AA1754" s="353"/>
    </row>
    <row r="1755" spans="3:27">
      <c r="C1755" s="50"/>
      <c r="O1755" s="353"/>
      <c r="AA1755" s="353"/>
    </row>
    <row r="1756" spans="3:27">
      <c r="C1756" s="50"/>
      <c r="O1756" s="353"/>
      <c r="AA1756" s="353"/>
    </row>
    <row r="1757" spans="3:27">
      <c r="C1757" s="50"/>
      <c r="O1757" s="353"/>
      <c r="AA1757" s="353"/>
    </row>
    <row r="1758" spans="3:27">
      <c r="C1758" s="50"/>
      <c r="O1758" s="353"/>
      <c r="AA1758" s="353"/>
    </row>
    <row r="1759" spans="3:27">
      <c r="C1759" s="50"/>
      <c r="O1759" s="353"/>
      <c r="AA1759" s="353"/>
    </row>
    <row r="1760" spans="3:27">
      <c r="C1760" s="50"/>
      <c r="O1760" s="353"/>
      <c r="AA1760" s="353"/>
    </row>
    <row r="1761" spans="3:27">
      <c r="C1761" s="50"/>
      <c r="O1761" s="353"/>
      <c r="AA1761" s="353"/>
    </row>
    <row r="1762" spans="3:27">
      <c r="C1762" s="50"/>
      <c r="O1762" s="353"/>
      <c r="AA1762" s="353"/>
    </row>
    <row r="1763" spans="3:27">
      <c r="C1763" s="50"/>
      <c r="O1763" s="353"/>
      <c r="AA1763" s="353"/>
    </row>
    <row r="1764" spans="3:27">
      <c r="C1764" s="50"/>
      <c r="O1764" s="353"/>
      <c r="AA1764" s="353"/>
    </row>
    <row r="1765" spans="3:27">
      <c r="C1765" s="50"/>
      <c r="O1765" s="353"/>
      <c r="AA1765" s="353"/>
    </row>
    <row r="1766" spans="3:27">
      <c r="C1766" s="50"/>
      <c r="O1766" s="353"/>
      <c r="AA1766" s="353"/>
    </row>
    <row r="1767" spans="3:27">
      <c r="C1767" s="50"/>
      <c r="O1767" s="353"/>
      <c r="AA1767" s="353"/>
    </row>
    <row r="1768" spans="3:27">
      <c r="C1768" s="50"/>
      <c r="O1768" s="353"/>
      <c r="AA1768" s="353"/>
    </row>
    <row r="1769" spans="3:27">
      <c r="C1769" s="50"/>
      <c r="O1769" s="353"/>
      <c r="AA1769" s="353"/>
    </row>
    <row r="1770" spans="3:27">
      <c r="C1770" s="50"/>
      <c r="O1770" s="353"/>
      <c r="AA1770" s="353"/>
    </row>
    <row r="1771" spans="3:27">
      <c r="C1771" s="50"/>
      <c r="O1771" s="353"/>
      <c r="AA1771" s="353"/>
    </row>
    <row r="1772" spans="3:27">
      <c r="C1772" s="50"/>
      <c r="O1772" s="353"/>
      <c r="AA1772" s="353"/>
    </row>
    <row r="1773" spans="3:27">
      <c r="C1773" s="50"/>
      <c r="O1773" s="353"/>
      <c r="AA1773" s="353"/>
    </row>
    <row r="1774" spans="3:27">
      <c r="C1774" s="50"/>
      <c r="O1774" s="353"/>
      <c r="AA1774" s="353"/>
    </row>
    <row r="1775" spans="3:27">
      <c r="C1775" s="50"/>
      <c r="O1775" s="353"/>
      <c r="AA1775" s="353"/>
    </row>
    <row r="1776" spans="3:27">
      <c r="C1776" s="50"/>
      <c r="O1776" s="353"/>
      <c r="AA1776" s="353"/>
    </row>
    <row r="1777" spans="3:27">
      <c r="C1777" s="50"/>
      <c r="O1777" s="353"/>
      <c r="AA1777" s="353"/>
    </row>
    <row r="1778" spans="3:27">
      <c r="C1778" s="50"/>
      <c r="O1778" s="353"/>
      <c r="AA1778" s="353"/>
    </row>
    <row r="1779" spans="3:27">
      <c r="C1779" s="50"/>
      <c r="O1779" s="353"/>
      <c r="AA1779" s="353"/>
    </row>
    <row r="1780" spans="3:27">
      <c r="C1780" s="50"/>
      <c r="O1780" s="353"/>
      <c r="AA1780" s="353"/>
    </row>
    <row r="1781" spans="3:27">
      <c r="C1781" s="50"/>
      <c r="O1781" s="353"/>
      <c r="AA1781" s="353"/>
    </row>
    <row r="1782" spans="3:27">
      <c r="C1782" s="50"/>
      <c r="O1782" s="353"/>
      <c r="AA1782" s="353"/>
    </row>
    <row r="1783" spans="3:27">
      <c r="C1783" s="50"/>
      <c r="O1783" s="353"/>
      <c r="AA1783" s="353"/>
    </row>
    <row r="1784" spans="3:27">
      <c r="C1784" s="50"/>
      <c r="O1784" s="353"/>
      <c r="AA1784" s="353"/>
    </row>
    <row r="1785" spans="3:27">
      <c r="C1785" s="50"/>
      <c r="O1785" s="353"/>
      <c r="AA1785" s="353"/>
    </row>
    <row r="1786" spans="3:27">
      <c r="C1786" s="50"/>
      <c r="O1786" s="353"/>
      <c r="AA1786" s="353"/>
    </row>
    <row r="1787" spans="3:27">
      <c r="C1787" s="50"/>
      <c r="O1787" s="353"/>
      <c r="AA1787" s="353"/>
    </row>
    <row r="1788" spans="3:27">
      <c r="C1788" s="50"/>
      <c r="O1788" s="353"/>
      <c r="AA1788" s="353"/>
    </row>
    <row r="1789" spans="3:27">
      <c r="C1789" s="50"/>
      <c r="O1789" s="353"/>
      <c r="AA1789" s="353"/>
    </row>
    <row r="1790" spans="3:27">
      <c r="C1790" s="50"/>
      <c r="O1790" s="353"/>
      <c r="AA1790" s="353"/>
    </row>
    <row r="1791" spans="3:27">
      <c r="C1791" s="50"/>
      <c r="O1791" s="353"/>
      <c r="AA1791" s="353"/>
    </row>
    <row r="1792" spans="3:27">
      <c r="C1792" s="50"/>
      <c r="O1792" s="353"/>
      <c r="AA1792" s="353"/>
    </row>
    <row r="1793" spans="3:27">
      <c r="C1793" s="50"/>
      <c r="O1793" s="353"/>
      <c r="AA1793" s="353"/>
    </row>
    <row r="1794" spans="3:27">
      <c r="C1794" s="50"/>
      <c r="O1794" s="353"/>
      <c r="AA1794" s="353"/>
    </row>
    <row r="1795" spans="3:27">
      <c r="C1795" s="50"/>
      <c r="O1795" s="353"/>
      <c r="AA1795" s="353"/>
    </row>
    <row r="1796" spans="3:27">
      <c r="C1796" s="50"/>
      <c r="O1796" s="353"/>
      <c r="AA1796" s="353"/>
    </row>
    <row r="1797" spans="3:27">
      <c r="C1797" s="50"/>
      <c r="O1797" s="353"/>
      <c r="AA1797" s="353"/>
    </row>
    <row r="1798" spans="3:27">
      <c r="C1798" s="50"/>
      <c r="O1798" s="353"/>
      <c r="AA1798" s="353"/>
    </row>
    <row r="1799" spans="3:27">
      <c r="C1799" s="50"/>
      <c r="O1799" s="353"/>
      <c r="AA1799" s="353"/>
    </row>
    <row r="1800" spans="3:27">
      <c r="C1800" s="50"/>
      <c r="O1800" s="353"/>
      <c r="AA1800" s="353"/>
    </row>
    <row r="1801" spans="3:27">
      <c r="C1801" s="50"/>
      <c r="O1801" s="353"/>
      <c r="AA1801" s="353"/>
    </row>
    <row r="1802" spans="3:27">
      <c r="C1802" s="50"/>
      <c r="O1802" s="353"/>
      <c r="AA1802" s="353"/>
    </row>
    <row r="1803" spans="3:27">
      <c r="C1803" s="50"/>
      <c r="O1803" s="353"/>
      <c r="AA1803" s="353"/>
    </row>
    <row r="1804" spans="3:27">
      <c r="C1804" s="50"/>
      <c r="O1804" s="353"/>
      <c r="AA1804" s="353"/>
    </row>
    <row r="1805" spans="3:27">
      <c r="C1805" s="50"/>
      <c r="O1805" s="353"/>
      <c r="AA1805" s="353"/>
    </row>
    <row r="1806" spans="3:27">
      <c r="C1806" s="50"/>
      <c r="O1806" s="353"/>
      <c r="AA1806" s="353"/>
    </row>
    <row r="1807" spans="3:27">
      <c r="C1807" s="50"/>
      <c r="O1807" s="353"/>
      <c r="AA1807" s="353"/>
    </row>
    <row r="1808" spans="3:27">
      <c r="C1808" s="50"/>
      <c r="O1808" s="353"/>
      <c r="AA1808" s="353"/>
    </row>
    <row r="1809" spans="3:27">
      <c r="C1809" s="50"/>
      <c r="O1809" s="353"/>
      <c r="AA1809" s="353"/>
    </row>
    <row r="1810" spans="3:27">
      <c r="C1810" s="50"/>
      <c r="O1810" s="353"/>
      <c r="AA1810" s="353"/>
    </row>
    <row r="1811" spans="3:27">
      <c r="C1811" s="50"/>
      <c r="O1811" s="353"/>
      <c r="AA1811" s="353"/>
    </row>
    <row r="1812" spans="3:27">
      <c r="C1812" s="50"/>
      <c r="O1812" s="353"/>
      <c r="AA1812" s="353"/>
    </row>
    <row r="1813" spans="3:27">
      <c r="C1813" s="50"/>
      <c r="O1813" s="353"/>
      <c r="AA1813" s="353"/>
    </row>
    <row r="1814" spans="3:27">
      <c r="C1814" s="50"/>
      <c r="O1814" s="353"/>
      <c r="AA1814" s="353"/>
    </row>
    <row r="1815" spans="3:27">
      <c r="C1815" s="50"/>
      <c r="O1815" s="353"/>
      <c r="AA1815" s="353"/>
    </row>
    <row r="1816" spans="3:27">
      <c r="C1816" s="50"/>
      <c r="O1816" s="353"/>
      <c r="AA1816" s="353"/>
    </row>
    <row r="1817" spans="3:27">
      <c r="C1817" s="50"/>
      <c r="O1817" s="353"/>
      <c r="AA1817" s="353"/>
    </row>
    <row r="1818" spans="3:27">
      <c r="C1818" s="50"/>
      <c r="O1818" s="353"/>
      <c r="AA1818" s="353"/>
    </row>
    <row r="1819" spans="3:27">
      <c r="C1819" s="50"/>
      <c r="O1819" s="353"/>
      <c r="AA1819" s="353"/>
    </row>
    <row r="1820" spans="3:27">
      <c r="C1820" s="50"/>
      <c r="O1820" s="353"/>
      <c r="AA1820" s="353"/>
    </row>
    <row r="1821" spans="3:27">
      <c r="C1821" s="50"/>
      <c r="O1821" s="353"/>
      <c r="AA1821" s="353"/>
    </row>
    <row r="1822" spans="3:27">
      <c r="C1822" s="50"/>
      <c r="O1822" s="353"/>
      <c r="AA1822" s="353"/>
    </row>
    <row r="1823" spans="3:27">
      <c r="C1823" s="50"/>
      <c r="O1823" s="353"/>
      <c r="AA1823" s="353"/>
    </row>
    <row r="1824" spans="3:27">
      <c r="C1824" s="50"/>
      <c r="O1824" s="353"/>
      <c r="AA1824" s="353"/>
    </row>
    <row r="1825" spans="3:27">
      <c r="C1825" s="50"/>
      <c r="O1825" s="353"/>
      <c r="AA1825" s="353"/>
    </row>
    <row r="1826" spans="3:27">
      <c r="C1826" s="50"/>
      <c r="O1826" s="353"/>
      <c r="AA1826" s="353"/>
    </row>
    <row r="1827" spans="3:27">
      <c r="C1827" s="50"/>
      <c r="O1827" s="353"/>
      <c r="AA1827" s="353"/>
    </row>
    <row r="1828" spans="3:27">
      <c r="C1828" s="50"/>
      <c r="O1828" s="353"/>
      <c r="AA1828" s="353"/>
    </row>
    <row r="1829" spans="3:27">
      <c r="C1829" s="50"/>
      <c r="O1829" s="353"/>
      <c r="AA1829" s="353"/>
    </row>
    <row r="1830" spans="3:27">
      <c r="C1830" s="50"/>
      <c r="O1830" s="353"/>
      <c r="AA1830" s="353"/>
    </row>
    <row r="1831" spans="3:27">
      <c r="C1831" s="50"/>
      <c r="O1831" s="353"/>
      <c r="AA1831" s="353"/>
    </row>
    <row r="1832" spans="3:27">
      <c r="C1832" s="50"/>
      <c r="O1832" s="353"/>
      <c r="AA1832" s="353"/>
    </row>
    <row r="1833" spans="3:27">
      <c r="C1833" s="50"/>
      <c r="O1833" s="353"/>
      <c r="AA1833" s="353"/>
    </row>
    <row r="1834" spans="3:27">
      <c r="C1834" s="50"/>
      <c r="O1834" s="353"/>
      <c r="AA1834" s="353"/>
    </row>
    <row r="1835" spans="3:27">
      <c r="C1835" s="50"/>
      <c r="O1835" s="353"/>
      <c r="AA1835" s="353"/>
    </row>
    <row r="1836" spans="3:27">
      <c r="C1836" s="50"/>
      <c r="O1836" s="353"/>
      <c r="AA1836" s="353"/>
    </row>
    <row r="1837" spans="3:27">
      <c r="C1837" s="50"/>
      <c r="O1837" s="353"/>
      <c r="AA1837" s="353"/>
    </row>
    <row r="1838" spans="3:27">
      <c r="C1838" s="50"/>
      <c r="O1838" s="353"/>
      <c r="AA1838" s="353"/>
    </row>
    <row r="1839" spans="3:27">
      <c r="C1839" s="50"/>
      <c r="O1839" s="353"/>
      <c r="AA1839" s="353"/>
    </row>
    <row r="1840" spans="3:27">
      <c r="C1840" s="50"/>
      <c r="O1840" s="353"/>
      <c r="AA1840" s="353"/>
    </row>
    <row r="1841" spans="3:27">
      <c r="C1841" s="50"/>
      <c r="O1841" s="353"/>
      <c r="AA1841" s="353"/>
    </row>
    <row r="1842" spans="3:27">
      <c r="C1842" s="50"/>
      <c r="O1842" s="353"/>
      <c r="AA1842" s="353"/>
    </row>
    <row r="1843" spans="3:27">
      <c r="C1843" s="50"/>
      <c r="O1843" s="353"/>
      <c r="AA1843" s="353"/>
    </row>
    <row r="1844" spans="3:27">
      <c r="C1844" s="50"/>
      <c r="O1844" s="353"/>
      <c r="AA1844" s="353"/>
    </row>
    <row r="1845" spans="3:27">
      <c r="C1845" s="50"/>
      <c r="O1845" s="353"/>
      <c r="AA1845" s="353"/>
    </row>
    <row r="1846" spans="3:27">
      <c r="C1846" s="50"/>
      <c r="O1846" s="353"/>
      <c r="AA1846" s="353"/>
    </row>
    <row r="1847" spans="3:27">
      <c r="C1847" s="50"/>
      <c r="O1847" s="353"/>
      <c r="AA1847" s="353"/>
    </row>
    <row r="1848" spans="3:27">
      <c r="C1848" s="50"/>
      <c r="O1848" s="353"/>
      <c r="AA1848" s="353"/>
    </row>
    <row r="1849" spans="3:27">
      <c r="C1849" s="50"/>
      <c r="O1849" s="353"/>
      <c r="AA1849" s="353"/>
    </row>
    <row r="1850" spans="3:27">
      <c r="C1850" s="50"/>
      <c r="O1850" s="353"/>
      <c r="AA1850" s="353"/>
    </row>
    <row r="1851" spans="3:27">
      <c r="C1851" s="50"/>
      <c r="O1851" s="353"/>
      <c r="AA1851" s="353"/>
    </row>
    <row r="1852" spans="3:27">
      <c r="C1852" s="50"/>
      <c r="O1852" s="353"/>
      <c r="AA1852" s="353"/>
    </row>
    <row r="1853" spans="3:27">
      <c r="C1853" s="50"/>
      <c r="O1853" s="353"/>
      <c r="AA1853" s="353"/>
    </row>
    <row r="1854" spans="3:27">
      <c r="C1854" s="50"/>
      <c r="O1854" s="353"/>
      <c r="AA1854" s="353"/>
    </row>
    <row r="1855" spans="3:27">
      <c r="C1855" s="50"/>
      <c r="O1855" s="353"/>
      <c r="AA1855" s="353"/>
    </row>
    <row r="1856" spans="3:27">
      <c r="C1856" s="50"/>
      <c r="O1856" s="353"/>
      <c r="AA1856" s="353"/>
    </row>
    <row r="1857" spans="3:27">
      <c r="C1857" s="50"/>
      <c r="O1857" s="353"/>
      <c r="AA1857" s="353"/>
    </row>
    <row r="1858" spans="3:27">
      <c r="C1858" s="50"/>
      <c r="O1858" s="353"/>
      <c r="AA1858" s="353"/>
    </row>
    <row r="1859" spans="3:27">
      <c r="C1859" s="50"/>
      <c r="O1859" s="353"/>
      <c r="AA1859" s="353"/>
    </row>
    <row r="1860" spans="3:27">
      <c r="C1860" s="50"/>
      <c r="O1860" s="353"/>
      <c r="AA1860" s="353"/>
    </row>
    <row r="1861" spans="3:27">
      <c r="C1861" s="50"/>
      <c r="O1861" s="353"/>
      <c r="AA1861" s="353"/>
    </row>
    <row r="1862" spans="3:27">
      <c r="C1862" s="50"/>
      <c r="O1862" s="353"/>
      <c r="AA1862" s="353"/>
    </row>
    <row r="1863" spans="3:27">
      <c r="C1863" s="50"/>
      <c r="O1863" s="353"/>
      <c r="AA1863" s="353"/>
    </row>
    <row r="1864" spans="3:27">
      <c r="C1864" s="50"/>
      <c r="O1864" s="353"/>
      <c r="AA1864" s="353"/>
    </row>
    <row r="1865" spans="3:27">
      <c r="C1865" s="50"/>
      <c r="O1865" s="353"/>
      <c r="AA1865" s="353"/>
    </row>
    <row r="1866" spans="3:27">
      <c r="C1866" s="50"/>
      <c r="O1866" s="353"/>
      <c r="AA1866" s="353"/>
    </row>
    <row r="1867" spans="3:27">
      <c r="C1867" s="50"/>
      <c r="O1867" s="353"/>
      <c r="AA1867" s="353"/>
    </row>
    <row r="1868" spans="3:27">
      <c r="C1868" s="50"/>
      <c r="O1868" s="353"/>
      <c r="AA1868" s="353"/>
    </row>
    <row r="1869" spans="3:27">
      <c r="C1869" s="50"/>
      <c r="O1869" s="353"/>
      <c r="AA1869" s="353"/>
    </row>
    <row r="1870" spans="3:27">
      <c r="C1870" s="50"/>
      <c r="O1870" s="353"/>
      <c r="AA1870" s="353"/>
    </row>
    <row r="1871" spans="3:27">
      <c r="C1871" s="50"/>
      <c r="O1871" s="353"/>
      <c r="AA1871" s="353"/>
    </row>
    <row r="1872" spans="3:27">
      <c r="C1872" s="50"/>
      <c r="O1872" s="353"/>
      <c r="AA1872" s="353"/>
    </row>
    <row r="1873" spans="3:27">
      <c r="C1873" s="50"/>
      <c r="O1873" s="353"/>
      <c r="AA1873" s="353"/>
    </row>
    <row r="1874" spans="3:27">
      <c r="C1874" s="50"/>
      <c r="O1874" s="353"/>
      <c r="AA1874" s="353"/>
    </row>
    <row r="1875" spans="3:27">
      <c r="C1875" s="50"/>
      <c r="O1875" s="353"/>
      <c r="AA1875" s="353"/>
    </row>
    <row r="1876" spans="3:27">
      <c r="C1876" s="50"/>
      <c r="O1876" s="353"/>
      <c r="AA1876" s="353"/>
    </row>
    <row r="1877" spans="3:27">
      <c r="C1877" s="50"/>
      <c r="O1877" s="353"/>
      <c r="AA1877" s="353"/>
    </row>
    <row r="1878" spans="3:27">
      <c r="C1878" s="50"/>
      <c r="O1878" s="353"/>
      <c r="AA1878" s="353"/>
    </row>
    <row r="1879" spans="3:27">
      <c r="C1879" s="50"/>
      <c r="O1879" s="353"/>
      <c r="AA1879" s="353"/>
    </row>
    <row r="1880" spans="3:27">
      <c r="C1880" s="50"/>
      <c r="O1880" s="353"/>
      <c r="AA1880" s="353"/>
    </row>
    <row r="1881" spans="3:27">
      <c r="C1881" s="50"/>
      <c r="O1881" s="353"/>
      <c r="AA1881" s="353"/>
    </row>
    <row r="1882" spans="3:27">
      <c r="C1882" s="50"/>
      <c r="O1882" s="353"/>
      <c r="AA1882" s="353"/>
    </row>
    <row r="1883" spans="3:27">
      <c r="C1883" s="50"/>
      <c r="O1883" s="353"/>
      <c r="AA1883" s="353"/>
    </row>
    <row r="1884" spans="3:27">
      <c r="C1884" s="50"/>
      <c r="O1884" s="353"/>
      <c r="AA1884" s="353"/>
    </row>
    <row r="1885" spans="3:27">
      <c r="C1885" s="50"/>
      <c r="O1885" s="353"/>
      <c r="AA1885" s="353"/>
    </row>
    <row r="1886" spans="3:27">
      <c r="C1886" s="50"/>
      <c r="O1886" s="353"/>
      <c r="AA1886" s="353"/>
    </row>
    <row r="1887" spans="3:27">
      <c r="C1887" s="50"/>
      <c r="O1887" s="353"/>
      <c r="AA1887" s="353"/>
    </row>
    <row r="1888" spans="3:27">
      <c r="C1888" s="50"/>
      <c r="O1888" s="353"/>
      <c r="AA1888" s="353"/>
    </row>
    <row r="1889" spans="3:27">
      <c r="C1889" s="50"/>
      <c r="O1889" s="353"/>
      <c r="AA1889" s="353"/>
    </row>
    <row r="1890" spans="3:27">
      <c r="C1890" s="50"/>
      <c r="O1890" s="353"/>
      <c r="AA1890" s="353"/>
    </row>
    <row r="1891" spans="3:27">
      <c r="C1891" s="50"/>
      <c r="O1891" s="353"/>
      <c r="AA1891" s="353"/>
    </row>
    <row r="1892" spans="3:27">
      <c r="C1892" s="50"/>
      <c r="O1892" s="353"/>
      <c r="AA1892" s="353"/>
    </row>
    <row r="1893" spans="3:27">
      <c r="C1893" s="50"/>
      <c r="O1893" s="353"/>
      <c r="AA1893" s="353"/>
    </row>
    <row r="1894" spans="3:27">
      <c r="C1894" s="50"/>
      <c r="O1894" s="353"/>
      <c r="AA1894" s="353"/>
    </row>
    <row r="1895" spans="3:27">
      <c r="C1895" s="50"/>
      <c r="O1895" s="353"/>
      <c r="AA1895" s="353"/>
    </row>
    <row r="1896" spans="3:27">
      <c r="C1896" s="50"/>
      <c r="O1896" s="353"/>
      <c r="AA1896" s="353"/>
    </row>
    <row r="1897" spans="3:27">
      <c r="C1897" s="50"/>
      <c r="O1897" s="353"/>
      <c r="AA1897" s="353"/>
    </row>
    <row r="1898" spans="3:27">
      <c r="C1898" s="50"/>
      <c r="O1898" s="353"/>
      <c r="AA1898" s="353"/>
    </row>
    <row r="1899" spans="3:27">
      <c r="C1899" s="50"/>
      <c r="O1899" s="353"/>
      <c r="AA1899" s="353"/>
    </row>
    <row r="1900" spans="3:27">
      <c r="C1900" s="50"/>
      <c r="O1900" s="353"/>
      <c r="AA1900" s="353"/>
    </row>
    <row r="1901" spans="3:27">
      <c r="C1901" s="50"/>
      <c r="O1901" s="353"/>
      <c r="AA1901" s="353"/>
    </row>
    <row r="1902" spans="3:27">
      <c r="C1902" s="50"/>
      <c r="O1902" s="353"/>
      <c r="AA1902" s="353"/>
    </row>
    <row r="1903" spans="3:27">
      <c r="C1903" s="50"/>
      <c r="O1903" s="353"/>
      <c r="AA1903" s="353"/>
    </row>
    <row r="1904" spans="3:27">
      <c r="C1904" s="50"/>
      <c r="O1904" s="353"/>
      <c r="AA1904" s="353"/>
    </row>
    <row r="1905" spans="3:27">
      <c r="C1905" s="50"/>
      <c r="O1905" s="353"/>
      <c r="AA1905" s="353"/>
    </row>
    <row r="1906" spans="3:27">
      <c r="C1906" s="50"/>
      <c r="O1906" s="353"/>
      <c r="AA1906" s="353"/>
    </row>
    <row r="1907" spans="3:27">
      <c r="C1907" s="50"/>
      <c r="O1907" s="353"/>
      <c r="AA1907" s="353"/>
    </row>
    <row r="1908" spans="3:27">
      <c r="C1908" s="50"/>
      <c r="O1908" s="353"/>
      <c r="AA1908" s="353"/>
    </row>
    <row r="1909" spans="3:27">
      <c r="C1909" s="50"/>
      <c r="O1909" s="353"/>
      <c r="AA1909" s="353"/>
    </row>
    <row r="1910" spans="3:27">
      <c r="C1910" s="50"/>
      <c r="O1910" s="353"/>
      <c r="AA1910" s="353"/>
    </row>
    <row r="1911" spans="3:27">
      <c r="C1911" s="50"/>
      <c r="O1911" s="353"/>
      <c r="AA1911" s="353"/>
    </row>
    <row r="1912" spans="3:27">
      <c r="C1912" s="50"/>
      <c r="O1912" s="353"/>
      <c r="AA1912" s="353"/>
    </row>
    <row r="1913" spans="3:27">
      <c r="C1913" s="50"/>
      <c r="O1913" s="353"/>
      <c r="AA1913" s="353"/>
    </row>
    <row r="1914" spans="3:27">
      <c r="C1914" s="50"/>
      <c r="O1914" s="353"/>
      <c r="AA1914" s="353"/>
    </row>
    <row r="1915" spans="3:27">
      <c r="C1915" s="50"/>
      <c r="O1915" s="353"/>
      <c r="AA1915" s="353"/>
    </row>
    <row r="1916" spans="3:27">
      <c r="C1916" s="50"/>
      <c r="O1916" s="353"/>
      <c r="AA1916" s="353"/>
    </row>
    <row r="1917" spans="3:27">
      <c r="C1917" s="50"/>
      <c r="O1917" s="353"/>
      <c r="AA1917" s="353"/>
    </row>
    <row r="1918" spans="3:27">
      <c r="C1918" s="50"/>
      <c r="O1918" s="353"/>
      <c r="AA1918" s="353"/>
    </row>
    <row r="1919" spans="3:27">
      <c r="C1919" s="50"/>
      <c r="O1919" s="353"/>
      <c r="AA1919" s="353"/>
    </row>
    <row r="1920" spans="3:27">
      <c r="C1920" s="50"/>
      <c r="O1920" s="353"/>
      <c r="AA1920" s="353"/>
    </row>
    <row r="1921" spans="3:27">
      <c r="C1921" s="50"/>
      <c r="O1921" s="353"/>
      <c r="AA1921" s="353"/>
    </row>
    <row r="1922" spans="3:27">
      <c r="C1922" s="50"/>
      <c r="O1922" s="353"/>
      <c r="AA1922" s="353"/>
    </row>
    <row r="1923" spans="3:27">
      <c r="C1923" s="50"/>
      <c r="O1923" s="353"/>
      <c r="AA1923" s="353"/>
    </row>
    <row r="1924" spans="3:27">
      <c r="C1924" s="50"/>
      <c r="O1924" s="353"/>
      <c r="AA1924" s="353"/>
    </row>
    <row r="1925" spans="3:27">
      <c r="C1925" s="50"/>
      <c r="O1925" s="353"/>
      <c r="AA1925" s="353"/>
    </row>
    <row r="1926" spans="3:27">
      <c r="C1926" s="50"/>
      <c r="O1926" s="353"/>
      <c r="AA1926" s="353"/>
    </row>
    <row r="1927" spans="3:27">
      <c r="C1927" s="50"/>
      <c r="O1927" s="353"/>
      <c r="AA1927" s="353"/>
    </row>
    <row r="1928" spans="3:27">
      <c r="C1928" s="50"/>
      <c r="O1928" s="353"/>
      <c r="AA1928" s="353"/>
    </row>
    <row r="1929" spans="3:27">
      <c r="C1929" s="50"/>
      <c r="O1929" s="353"/>
      <c r="AA1929" s="353"/>
    </row>
    <row r="1930" spans="3:27">
      <c r="C1930" s="50"/>
      <c r="O1930" s="353"/>
      <c r="AA1930" s="353"/>
    </row>
    <row r="1931" spans="3:27">
      <c r="C1931" s="50"/>
      <c r="O1931" s="353"/>
      <c r="AA1931" s="353"/>
    </row>
    <row r="1932" spans="3:27">
      <c r="C1932" s="50"/>
      <c r="O1932" s="353"/>
      <c r="AA1932" s="353"/>
    </row>
    <row r="1933" spans="3:27">
      <c r="C1933" s="50"/>
      <c r="O1933" s="353"/>
      <c r="AA1933" s="353"/>
    </row>
    <row r="1934" spans="3:27">
      <c r="C1934" s="50"/>
      <c r="O1934" s="353"/>
      <c r="AA1934" s="353"/>
    </row>
    <row r="1935" spans="3:27">
      <c r="C1935" s="50"/>
      <c r="O1935" s="353"/>
      <c r="AA1935" s="353"/>
    </row>
    <row r="1936" spans="3:27">
      <c r="C1936" s="50"/>
      <c r="O1936" s="353"/>
      <c r="AA1936" s="353"/>
    </row>
    <row r="1937" spans="3:27">
      <c r="C1937" s="50"/>
      <c r="O1937" s="353"/>
      <c r="AA1937" s="353"/>
    </row>
    <row r="1938" spans="3:27">
      <c r="C1938" s="50"/>
      <c r="O1938" s="353"/>
      <c r="AA1938" s="353"/>
    </row>
    <row r="1939" spans="3:27">
      <c r="C1939" s="50"/>
      <c r="O1939" s="353"/>
      <c r="AA1939" s="353"/>
    </row>
    <row r="1940" spans="3:27">
      <c r="C1940" s="50"/>
      <c r="O1940" s="353"/>
      <c r="AA1940" s="353"/>
    </row>
    <row r="1941" spans="3:27">
      <c r="C1941" s="50"/>
      <c r="O1941" s="353"/>
      <c r="AA1941" s="353"/>
    </row>
    <row r="1942" spans="3:27">
      <c r="C1942" s="50"/>
      <c r="O1942" s="353"/>
      <c r="AA1942" s="353"/>
    </row>
    <row r="1943" spans="3:27">
      <c r="C1943" s="50"/>
      <c r="O1943" s="353"/>
      <c r="AA1943" s="353"/>
    </row>
    <row r="1944" spans="3:27">
      <c r="C1944" s="50"/>
      <c r="O1944" s="353"/>
      <c r="AA1944" s="353"/>
    </row>
    <row r="1945" spans="3:27">
      <c r="C1945" s="50"/>
      <c r="O1945" s="353"/>
      <c r="AA1945" s="353"/>
    </row>
    <row r="1946" spans="3:27">
      <c r="C1946" s="50"/>
      <c r="O1946" s="353"/>
      <c r="AA1946" s="353"/>
    </row>
    <row r="1947" spans="3:27">
      <c r="C1947" s="50"/>
      <c r="O1947" s="353"/>
      <c r="AA1947" s="353"/>
    </row>
    <row r="1948" spans="3:27">
      <c r="C1948" s="50"/>
      <c r="O1948" s="353"/>
      <c r="AA1948" s="353"/>
    </row>
    <row r="1949" spans="3:27">
      <c r="C1949" s="50"/>
      <c r="O1949" s="353"/>
      <c r="AA1949" s="353"/>
    </row>
    <row r="1950" spans="3:27">
      <c r="C1950" s="50"/>
      <c r="O1950" s="353"/>
      <c r="AA1950" s="353"/>
    </row>
    <row r="1951" spans="3:27">
      <c r="C1951" s="50"/>
      <c r="O1951" s="353"/>
      <c r="AA1951" s="353"/>
    </row>
    <row r="1952" spans="3:27">
      <c r="C1952" s="50"/>
      <c r="O1952" s="353"/>
      <c r="AA1952" s="353"/>
    </row>
    <row r="1953" spans="3:27">
      <c r="C1953" s="50"/>
      <c r="O1953" s="353"/>
      <c r="AA1953" s="353"/>
    </row>
    <row r="1954" spans="3:27">
      <c r="C1954" s="50"/>
      <c r="O1954" s="353"/>
      <c r="AA1954" s="353"/>
    </row>
    <row r="1955" spans="3:27">
      <c r="C1955" s="50"/>
      <c r="O1955" s="353"/>
      <c r="AA1955" s="353"/>
    </row>
    <row r="1956" spans="3:27">
      <c r="C1956" s="50"/>
      <c r="O1956" s="353"/>
      <c r="AA1956" s="353"/>
    </row>
    <row r="1957" spans="3:27">
      <c r="C1957" s="50"/>
      <c r="O1957" s="353"/>
      <c r="AA1957" s="353"/>
    </row>
    <row r="1958" spans="3:27">
      <c r="C1958" s="50"/>
      <c r="O1958" s="353"/>
      <c r="AA1958" s="353"/>
    </row>
    <row r="1959" spans="3:27">
      <c r="C1959" s="50"/>
      <c r="O1959" s="353"/>
      <c r="AA1959" s="353"/>
    </row>
    <row r="1960" spans="3:27">
      <c r="C1960" s="50"/>
      <c r="O1960" s="353"/>
      <c r="AA1960" s="353"/>
    </row>
    <row r="1961" spans="3:27">
      <c r="C1961" s="50"/>
      <c r="O1961" s="353"/>
      <c r="AA1961" s="353"/>
    </row>
    <row r="1962" spans="3:27">
      <c r="C1962" s="50"/>
      <c r="O1962" s="353"/>
      <c r="AA1962" s="353"/>
    </row>
    <row r="1963" spans="3:27">
      <c r="C1963" s="50"/>
      <c r="O1963" s="353"/>
      <c r="AA1963" s="353"/>
    </row>
    <row r="1964" spans="3:27">
      <c r="C1964" s="50"/>
      <c r="O1964" s="353"/>
      <c r="AA1964" s="353"/>
    </row>
    <row r="1965" spans="3:27">
      <c r="C1965" s="50"/>
      <c r="O1965" s="353"/>
      <c r="AA1965" s="353"/>
    </row>
    <row r="1966" spans="3:27">
      <c r="C1966" s="50"/>
      <c r="O1966" s="353"/>
      <c r="AA1966" s="353"/>
    </row>
    <row r="1967" spans="3:27">
      <c r="C1967" s="50"/>
      <c r="O1967" s="353"/>
      <c r="AA1967" s="353"/>
    </row>
    <row r="1968" spans="3:27">
      <c r="C1968" s="50"/>
      <c r="O1968" s="353"/>
      <c r="AA1968" s="353"/>
    </row>
    <row r="1969" spans="3:27">
      <c r="C1969" s="50"/>
      <c r="O1969" s="353"/>
      <c r="AA1969" s="353"/>
    </row>
    <row r="1970" spans="3:27">
      <c r="C1970" s="50"/>
      <c r="O1970" s="353"/>
      <c r="AA1970" s="353"/>
    </row>
    <row r="1971" spans="3:27">
      <c r="C1971" s="50"/>
      <c r="O1971" s="353"/>
      <c r="AA1971" s="353"/>
    </row>
    <row r="1972" spans="3:27">
      <c r="C1972" s="50"/>
      <c r="O1972" s="353"/>
      <c r="AA1972" s="353"/>
    </row>
    <row r="1973" spans="3:27">
      <c r="C1973" s="50"/>
      <c r="O1973" s="353"/>
      <c r="AA1973" s="353"/>
    </row>
    <row r="1974" spans="3:27">
      <c r="C1974" s="50"/>
      <c r="O1974" s="353"/>
      <c r="AA1974" s="353"/>
    </row>
    <row r="1975" spans="3:27">
      <c r="C1975" s="50"/>
      <c r="O1975" s="353"/>
      <c r="AA1975" s="353"/>
    </row>
    <row r="1976" spans="3:27">
      <c r="C1976" s="50"/>
      <c r="O1976" s="353"/>
      <c r="AA1976" s="353"/>
    </row>
    <row r="1977" spans="3:27">
      <c r="C1977" s="50"/>
      <c r="O1977" s="353"/>
      <c r="AA1977" s="353"/>
    </row>
    <row r="1978" spans="3:27">
      <c r="C1978" s="50"/>
      <c r="O1978" s="353"/>
      <c r="AA1978" s="353"/>
    </row>
    <row r="1979" spans="3:27">
      <c r="C1979" s="50"/>
      <c r="O1979" s="353"/>
      <c r="AA1979" s="353"/>
    </row>
    <row r="1980" spans="3:27">
      <c r="C1980" s="50"/>
      <c r="O1980" s="353"/>
      <c r="AA1980" s="353"/>
    </row>
    <row r="1981" spans="3:27">
      <c r="C1981" s="50"/>
      <c r="O1981" s="353"/>
      <c r="AA1981" s="353"/>
    </row>
    <row r="1982" spans="3:27">
      <c r="C1982" s="50"/>
      <c r="O1982" s="353"/>
      <c r="AA1982" s="353"/>
    </row>
    <row r="1983" spans="3:27">
      <c r="C1983" s="50"/>
      <c r="O1983" s="353"/>
      <c r="AA1983" s="353"/>
    </row>
    <row r="1984" spans="3:27">
      <c r="C1984" s="50"/>
      <c r="O1984" s="353"/>
      <c r="AA1984" s="353"/>
    </row>
    <row r="1985" spans="3:27">
      <c r="C1985" s="50"/>
      <c r="O1985" s="353"/>
      <c r="AA1985" s="353"/>
    </row>
    <row r="1986" spans="3:27">
      <c r="C1986" s="50"/>
      <c r="O1986" s="353"/>
      <c r="AA1986" s="353"/>
    </row>
    <row r="1987" spans="3:27">
      <c r="C1987" s="50"/>
      <c r="O1987" s="353"/>
      <c r="AA1987" s="353"/>
    </row>
    <row r="1988" spans="3:27">
      <c r="C1988" s="50"/>
      <c r="O1988" s="353"/>
      <c r="AA1988" s="353"/>
    </row>
    <row r="1989" spans="3:27">
      <c r="C1989" s="50"/>
      <c r="O1989" s="353"/>
      <c r="AA1989" s="353"/>
    </row>
    <row r="1990" spans="3:27">
      <c r="C1990" s="50"/>
      <c r="O1990" s="353"/>
      <c r="AA1990" s="353"/>
    </row>
    <row r="1991" spans="3:27">
      <c r="C1991" s="50"/>
      <c r="O1991" s="353"/>
      <c r="AA1991" s="353"/>
    </row>
    <row r="1992" spans="3:27">
      <c r="C1992" s="50"/>
      <c r="O1992" s="353"/>
      <c r="AA1992" s="353"/>
    </row>
    <row r="1993" spans="3:27">
      <c r="C1993" s="50"/>
      <c r="O1993" s="353"/>
      <c r="AA1993" s="353"/>
    </row>
    <row r="1994" spans="3:27">
      <c r="C1994" s="50"/>
      <c r="O1994" s="353"/>
      <c r="AA1994" s="353"/>
    </row>
    <row r="1995" spans="3:27">
      <c r="C1995" s="50"/>
      <c r="O1995" s="353"/>
      <c r="AA1995" s="353"/>
    </row>
    <row r="1996" spans="3:27">
      <c r="C1996" s="50"/>
      <c r="O1996" s="353"/>
      <c r="AA1996" s="353"/>
    </row>
    <row r="1997" spans="3:27">
      <c r="C1997" s="50"/>
      <c r="O1997" s="353"/>
      <c r="AA1997" s="353"/>
    </row>
    <row r="1998" spans="3:27">
      <c r="C1998" s="50"/>
      <c r="O1998" s="353"/>
      <c r="AA1998" s="353"/>
    </row>
    <row r="1999" spans="3:27">
      <c r="C1999" s="50"/>
      <c r="O1999" s="353"/>
      <c r="AA1999" s="353"/>
    </row>
    <row r="2000" spans="3:27">
      <c r="C2000" s="50"/>
      <c r="O2000" s="353"/>
      <c r="AA2000" s="353"/>
    </row>
    <row r="2001" spans="3:27">
      <c r="C2001" s="50"/>
      <c r="O2001" s="353"/>
      <c r="AA2001" s="353"/>
    </row>
    <row r="2002" spans="3:27">
      <c r="C2002" s="50"/>
      <c r="O2002" s="353"/>
      <c r="AA2002" s="353"/>
    </row>
    <row r="2003" spans="3:27">
      <c r="C2003" s="50"/>
      <c r="O2003" s="353"/>
      <c r="AA2003" s="353"/>
    </row>
    <row r="2004" spans="3:27">
      <c r="C2004" s="50"/>
      <c r="O2004" s="353"/>
      <c r="AA2004" s="353"/>
    </row>
    <row r="2005" spans="3:27">
      <c r="C2005" s="50"/>
      <c r="O2005" s="353"/>
      <c r="AA2005" s="353"/>
    </row>
    <row r="2006" spans="3:27">
      <c r="C2006" s="50"/>
      <c r="O2006" s="353"/>
      <c r="AA2006" s="353"/>
    </row>
    <row r="2007" spans="3:27">
      <c r="C2007" s="50"/>
      <c r="O2007" s="353"/>
      <c r="AA2007" s="353"/>
    </row>
    <row r="2008" spans="3:27">
      <c r="C2008" s="50"/>
      <c r="O2008" s="353"/>
      <c r="AA2008" s="353"/>
    </row>
    <row r="2009" spans="3:27">
      <c r="C2009" s="50"/>
      <c r="O2009" s="353"/>
      <c r="AA2009" s="353"/>
    </row>
    <row r="2010" spans="3:27">
      <c r="C2010" s="50"/>
      <c r="O2010" s="353"/>
      <c r="AA2010" s="353"/>
    </row>
    <row r="2011" spans="3:27">
      <c r="C2011" s="50"/>
      <c r="O2011" s="353"/>
      <c r="AA2011" s="353"/>
    </row>
    <row r="2012" spans="3:27">
      <c r="C2012" s="50"/>
      <c r="O2012" s="353"/>
      <c r="AA2012" s="353"/>
    </row>
    <row r="2013" spans="3:27">
      <c r="C2013" s="50"/>
      <c r="O2013" s="353"/>
      <c r="AA2013" s="353"/>
    </row>
    <row r="2014" spans="3:27">
      <c r="C2014" s="50"/>
      <c r="O2014" s="353"/>
      <c r="AA2014" s="353"/>
    </row>
    <row r="2015" spans="3:27">
      <c r="C2015" s="50"/>
      <c r="O2015" s="353"/>
      <c r="AA2015" s="353"/>
    </row>
    <row r="2016" spans="3:27">
      <c r="C2016" s="50"/>
      <c r="O2016" s="353"/>
      <c r="AA2016" s="353"/>
    </row>
    <row r="2017" spans="3:27">
      <c r="C2017" s="50"/>
      <c r="O2017" s="353"/>
      <c r="AA2017" s="353"/>
    </row>
    <row r="2018" spans="3:27">
      <c r="C2018" s="50"/>
      <c r="O2018" s="353"/>
      <c r="AA2018" s="353"/>
    </row>
    <row r="2019" spans="3:27">
      <c r="C2019" s="50"/>
      <c r="O2019" s="353"/>
      <c r="AA2019" s="353"/>
    </row>
    <row r="2020" spans="3:27">
      <c r="C2020" s="50"/>
      <c r="O2020" s="353"/>
      <c r="AA2020" s="353"/>
    </row>
    <row r="2021" spans="3:27">
      <c r="C2021" s="50"/>
      <c r="O2021" s="353"/>
      <c r="AA2021" s="353"/>
    </row>
    <row r="2022" spans="3:27">
      <c r="C2022" s="50"/>
      <c r="O2022" s="353"/>
      <c r="AA2022" s="353"/>
    </row>
    <row r="2023" spans="3:27">
      <c r="C2023" s="50"/>
      <c r="O2023" s="353"/>
      <c r="AA2023" s="353"/>
    </row>
    <row r="2024" spans="3:27">
      <c r="C2024" s="50"/>
      <c r="O2024" s="353"/>
      <c r="AA2024" s="353"/>
    </row>
    <row r="2025" spans="3:27">
      <c r="C2025" s="50"/>
      <c r="O2025" s="353"/>
      <c r="AA2025" s="353"/>
    </row>
    <row r="2026" spans="3:27">
      <c r="C2026" s="50"/>
      <c r="O2026" s="353"/>
      <c r="AA2026" s="353"/>
    </row>
    <row r="2027" spans="3:27">
      <c r="C2027" s="50"/>
      <c r="O2027" s="353"/>
      <c r="AA2027" s="353"/>
    </row>
    <row r="2028" spans="3:27">
      <c r="C2028" s="50"/>
      <c r="O2028" s="353"/>
      <c r="AA2028" s="353"/>
    </row>
    <row r="2029" spans="3:27">
      <c r="C2029" s="50"/>
      <c r="O2029" s="353"/>
      <c r="AA2029" s="353"/>
    </row>
    <row r="2030" spans="3:27">
      <c r="C2030" s="50"/>
      <c r="O2030" s="353"/>
      <c r="AA2030" s="353"/>
    </row>
    <row r="2031" spans="3:27">
      <c r="C2031" s="50"/>
      <c r="O2031" s="353"/>
      <c r="AA2031" s="353"/>
    </row>
    <row r="2032" spans="3:27">
      <c r="C2032" s="50"/>
      <c r="O2032" s="353"/>
      <c r="AA2032" s="353"/>
    </row>
    <row r="2033" spans="3:27">
      <c r="C2033" s="50"/>
      <c r="O2033" s="353"/>
      <c r="AA2033" s="353"/>
    </row>
    <row r="2034" spans="3:27">
      <c r="C2034" s="50"/>
      <c r="O2034" s="353"/>
      <c r="AA2034" s="353"/>
    </row>
    <row r="2035" spans="3:27">
      <c r="C2035" s="50"/>
      <c r="O2035" s="353"/>
      <c r="AA2035" s="353"/>
    </row>
    <row r="2036" spans="3:27">
      <c r="C2036" s="50"/>
      <c r="O2036" s="353"/>
      <c r="AA2036" s="353"/>
    </row>
    <row r="2037" spans="3:27">
      <c r="C2037" s="50"/>
      <c r="O2037" s="353"/>
      <c r="AA2037" s="353"/>
    </row>
    <row r="2038" spans="3:27">
      <c r="C2038" s="50"/>
      <c r="O2038" s="353"/>
      <c r="AA2038" s="353"/>
    </row>
    <row r="2039" spans="3:27">
      <c r="C2039" s="50"/>
      <c r="O2039" s="353"/>
      <c r="AA2039" s="353"/>
    </row>
    <row r="2040" spans="3:27">
      <c r="C2040" s="50"/>
      <c r="O2040" s="353"/>
      <c r="AA2040" s="353"/>
    </row>
    <row r="2041" spans="3:27">
      <c r="C2041" s="50"/>
      <c r="O2041" s="353"/>
      <c r="AA2041" s="353"/>
    </row>
    <row r="2042" spans="3:27">
      <c r="C2042" s="50"/>
      <c r="O2042" s="353"/>
      <c r="AA2042" s="353"/>
    </row>
    <row r="2043" spans="3:27">
      <c r="C2043" s="50"/>
      <c r="O2043" s="353"/>
      <c r="AA2043" s="353"/>
    </row>
    <row r="2044" spans="3:27">
      <c r="C2044" s="50"/>
      <c r="O2044" s="353"/>
      <c r="AA2044" s="353"/>
    </row>
    <row r="2045" spans="3:27">
      <c r="C2045" s="50"/>
      <c r="O2045" s="353"/>
      <c r="AA2045" s="353"/>
    </row>
    <row r="2046" spans="3:27">
      <c r="C2046" s="50"/>
      <c r="O2046" s="353"/>
      <c r="AA2046" s="353"/>
    </row>
    <row r="2047" spans="3:27">
      <c r="C2047" s="50"/>
      <c r="O2047" s="353"/>
      <c r="AA2047" s="353"/>
    </row>
    <row r="2048" spans="3:27">
      <c r="C2048" s="50"/>
      <c r="O2048" s="353"/>
      <c r="AA2048" s="353"/>
    </row>
    <row r="2049" spans="3:27">
      <c r="C2049" s="50"/>
      <c r="O2049" s="353"/>
      <c r="AA2049" s="353"/>
    </row>
    <row r="2050" spans="3:27">
      <c r="C2050" s="50"/>
      <c r="O2050" s="353"/>
      <c r="AA2050" s="353"/>
    </row>
    <row r="2051" spans="3:27">
      <c r="C2051" s="50"/>
      <c r="O2051" s="353"/>
      <c r="AA2051" s="353"/>
    </row>
    <row r="2052" spans="3:27">
      <c r="C2052" s="50"/>
      <c r="O2052" s="353"/>
      <c r="AA2052" s="353"/>
    </row>
    <row r="2053" spans="3:27">
      <c r="C2053" s="50"/>
      <c r="O2053" s="353"/>
      <c r="AA2053" s="353"/>
    </row>
    <row r="2054" spans="3:27">
      <c r="C2054" s="50"/>
      <c r="O2054" s="353"/>
      <c r="AA2054" s="353"/>
    </row>
    <row r="2055" spans="3:27">
      <c r="C2055" s="50"/>
      <c r="O2055" s="353"/>
      <c r="AA2055" s="353"/>
    </row>
    <row r="2056" spans="3:27">
      <c r="C2056" s="50"/>
      <c r="O2056" s="353"/>
      <c r="AA2056" s="353"/>
    </row>
    <row r="2057" spans="3:27">
      <c r="C2057" s="50"/>
      <c r="O2057" s="353"/>
      <c r="AA2057" s="353"/>
    </row>
    <row r="2058" spans="3:27">
      <c r="C2058" s="50"/>
      <c r="O2058" s="353"/>
      <c r="AA2058" s="353"/>
    </row>
    <row r="2059" spans="3:27">
      <c r="C2059" s="50"/>
      <c r="O2059" s="353"/>
      <c r="AA2059" s="353"/>
    </row>
    <row r="2060" spans="3:27">
      <c r="C2060" s="50"/>
      <c r="O2060" s="353"/>
      <c r="AA2060" s="353"/>
    </row>
    <row r="2061" spans="3:27">
      <c r="C2061" s="50"/>
      <c r="O2061" s="353"/>
      <c r="AA2061" s="353"/>
    </row>
    <row r="2062" spans="3:27">
      <c r="C2062" s="50"/>
      <c r="O2062" s="353"/>
      <c r="AA2062" s="353"/>
    </row>
    <row r="2063" spans="3:27">
      <c r="C2063" s="50"/>
      <c r="O2063" s="353"/>
      <c r="AA2063" s="353"/>
    </row>
    <row r="2064" spans="3:27">
      <c r="C2064" s="50"/>
      <c r="O2064" s="353"/>
      <c r="AA2064" s="353"/>
    </row>
    <row r="2065" spans="3:27">
      <c r="C2065" s="50"/>
      <c r="O2065" s="353"/>
      <c r="AA2065" s="353"/>
    </row>
    <row r="2066" spans="3:27">
      <c r="C2066" s="50"/>
      <c r="O2066" s="353"/>
      <c r="AA2066" s="353"/>
    </row>
    <row r="2067" spans="3:27">
      <c r="C2067" s="50"/>
      <c r="O2067" s="353"/>
      <c r="AA2067" s="353"/>
    </row>
    <row r="2068" spans="3:27">
      <c r="C2068" s="50"/>
      <c r="O2068" s="353"/>
      <c r="AA2068" s="353"/>
    </row>
    <row r="2069" spans="3:27">
      <c r="C2069" s="50"/>
      <c r="O2069" s="353"/>
      <c r="AA2069" s="353"/>
    </row>
    <row r="2070" spans="3:27">
      <c r="C2070" s="50"/>
      <c r="O2070" s="353"/>
      <c r="AA2070" s="353"/>
    </row>
    <row r="2071" spans="3:27">
      <c r="C2071" s="50"/>
      <c r="O2071" s="353"/>
      <c r="AA2071" s="353"/>
    </row>
    <row r="2072" spans="3:27">
      <c r="C2072" s="50"/>
      <c r="O2072" s="353"/>
      <c r="AA2072" s="353"/>
    </row>
    <row r="2073" spans="3:27">
      <c r="C2073" s="50"/>
      <c r="O2073" s="353"/>
      <c r="AA2073" s="353"/>
    </row>
    <row r="2074" spans="3:27">
      <c r="C2074" s="50"/>
      <c r="O2074" s="353"/>
      <c r="AA2074" s="353"/>
    </row>
    <row r="2075" spans="3:27">
      <c r="C2075" s="50"/>
      <c r="O2075" s="353"/>
      <c r="AA2075" s="353"/>
    </row>
    <row r="2076" spans="3:27">
      <c r="C2076" s="50"/>
      <c r="O2076" s="353"/>
      <c r="AA2076" s="353"/>
    </row>
    <row r="2077" spans="3:27">
      <c r="C2077" s="50"/>
      <c r="O2077" s="353"/>
      <c r="AA2077" s="353"/>
    </row>
    <row r="2078" spans="3:27">
      <c r="C2078" s="50"/>
      <c r="O2078" s="353"/>
      <c r="AA2078" s="353"/>
    </row>
    <row r="2079" spans="3:27">
      <c r="C2079" s="50"/>
      <c r="O2079" s="353"/>
      <c r="AA2079" s="353"/>
    </row>
    <row r="2080" spans="3:27">
      <c r="C2080" s="50"/>
      <c r="O2080" s="353"/>
      <c r="AA2080" s="353"/>
    </row>
    <row r="2081" spans="3:27">
      <c r="C2081" s="50"/>
      <c r="O2081" s="353"/>
      <c r="AA2081" s="353"/>
    </row>
    <row r="2082" spans="3:27">
      <c r="C2082" s="50"/>
      <c r="O2082" s="353"/>
      <c r="AA2082" s="353"/>
    </row>
    <row r="2083" spans="3:27">
      <c r="C2083" s="50"/>
      <c r="O2083" s="353"/>
      <c r="AA2083" s="353"/>
    </row>
    <row r="2084" spans="3:27">
      <c r="C2084" s="50"/>
      <c r="O2084" s="353"/>
      <c r="AA2084" s="353"/>
    </row>
    <row r="2085" spans="3:27">
      <c r="C2085" s="50"/>
      <c r="O2085" s="353"/>
      <c r="AA2085" s="353"/>
    </row>
    <row r="2086" spans="3:27">
      <c r="C2086" s="50"/>
      <c r="O2086" s="353"/>
      <c r="AA2086" s="353"/>
    </row>
    <row r="2087" spans="3:27">
      <c r="C2087" s="50"/>
      <c r="O2087" s="353"/>
      <c r="AA2087" s="353"/>
    </row>
    <row r="2088" spans="3:27">
      <c r="C2088" s="50"/>
      <c r="O2088" s="353"/>
      <c r="AA2088" s="353"/>
    </row>
    <row r="2089" spans="3:27">
      <c r="C2089" s="50"/>
      <c r="O2089" s="353"/>
      <c r="AA2089" s="353"/>
    </row>
    <row r="2090" spans="3:27">
      <c r="C2090" s="50"/>
      <c r="O2090" s="353"/>
      <c r="AA2090" s="353"/>
    </row>
    <row r="2091" spans="3:27">
      <c r="C2091" s="50"/>
      <c r="O2091" s="353"/>
      <c r="AA2091" s="353"/>
    </row>
    <row r="2092" spans="3:27">
      <c r="C2092" s="50"/>
      <c r="O2092" s="353"/>
      <c r="AA2092" s="353"/>
    </row>
    <row r="2093" spans="3:27">
      <c r="C2093" s="50"/>
      <c r="O2093" s="353"/>
      <c r="AA2093" s="353"/>
    </row>
    <row r="2094" spans="3:27">
      <c r="C2094" s="50"/>
      <c r="O2094" s="353"/>
      <c r="AA2094" s="353"/>
    </row>
    <row r="2095" spans="3:27">
      <c r="C2095" s="50"/>
      <c r="O2095" s="353"/>
      <c r="AA2095" s="353"/>
    </row>
    <row r="2096" spans="3:27">
      <c r="C2096" s="50"/>
      <c r="O2096" s="353"/>
      <c r="AA2096" s="353"/>
    </row>
    <row r="2097" spans="3:27">
      <c r="C2097" s="50"/>
      <c r="O2097" s="353"/>
      <c r="AA2097" s="353"/>
    </row>
    <row r="2098" spans="3:27">
      <c r="C2098" s="50"/>
      <c r="O2098" s="353"/>
      <c r="AA2098" s="353"/>
    </row>
    <row r="2099" spans="3:27">
      <c r="C2099" s="50"/>
      <c r="O2099" s="353"/>
      <c r="AA2099" s="353"/>
    </row>
    <row r="2100" spans="3:27">
      <c r="C2100" s="50"/>
      <c r="O2100" s="353"/>
      <c r="AA2100" s="353"/>
    </row>
    <row r="2101" spans="3:27">
      <c r="C2101" s="50"/>
      <c r="O2101" s="353"/>
      <c r="AA2101" s="353"/>
    </row>
    <row r="2102" spans="3:27">
      <c r="C2102" s="50"/>
      <c r="O2102" s="353"/>
      <c r="AA2102" s="353"/>
    </row>
    <row r="2103" spans="3:27">
      <c r="C2103" s="50"/>
      <c r="O2103" s="353"/>
      <c r="AA2103" s="353"/>
    </row>
    <row r="2104" spans="3:27">
      <c r="C2104" s="50"/>
      <c r="O2104" s="353"/>
      <c r="AA2104" s="353"/>
    </row>
    <row r="2105" spans="3:27">
      <c r="C2105" s="50"/>
      <c r="O2105" s="353"/>
      <c r="AA2105" s="353"/>
    </row>
    <row r="2106" spans="3:27">
      <c r="C2106" s="50"/>
      <c r="O2106" s="353"/>
      <c r="AA2106" s="353"/>
    </row>
    <row r="2107" spans="3:27">
      <c r="C2107" s="50"/>
      <c r="O2107" s="353"/>
      <c r="AA2107" s="353"/>
    </row>
    <row r="2108" spans="3:27">
      <c r="C2108" s="50"/>
      <c r="O2108" s="353"/>
      <c r="AA2108" s="353"/>
    </row>
    <row r="2109" spans="3:27">
      <c r="C2109" s="50"/>
      <c r="O2109" s="353"/>
      <c r="AA2109" s="353"/>
    </row>
    <row r="2110" spans="3:27">
      <c r="C2110" s="50"/>
      <c r="O2110" s="353"/>
      <c r="AA2110" s="353"/>
    </row>
    <row r="2111" spans="3:27">
      <c r="C2111" s="50"/>
      <c r="O2111" s="353"/>
      <c r="AA2111" s="353"/>
    </row>
    <row r="2112" spans="3:27">
      <c r="C2112" s="50"/>
      <c r="O2112" s="353"/>
      <c r="AA2112" s="353"/>
    </row>
    <row r="2113" spans="3:27">
      <c r="C2113" s="50"/>
      <c r="O2113" s="353"/>
      <c r="AA2113" s="353"/>
    </row>
    <row r="2114" spans="3:27">
      <c r="C2114" s="50"/>
      <c r="O2114" s="353"/>
      <c r="AA2114" s="353"/>
    </row>
    <row r="2115" spans="3:27">
      <c r="C2115" s="50"/>
      <c r="O2115" s="353"/>
      <c r="AA2115" s="353"/>
    </row>
    <row r="2116" spans="3:27">
      <c r="C2116" s="50"/>
      <c r="O2116" s="353"/>
      <c r="AA2116" s="353"/>
    </row>
    <row r="2117" spans="3:27">
      <c r="C2117" s="50"/>
      <c r="O2117" s="353"/>
      <c r="AA2117" s="353"/>
    </row>
    <row r="2118" spans="3:27">
      <c r="C2118" s="50"/>
      <c r="O2118" s="353"/>
      <c r="AA2118" s="353"/>
    </row>
    <row r="2119" spans="3:27">
      <c r="C2119" s="50"/>
      <c r="O2119" s="353"/>
      <c r="AA2119" s="353"/>
    </row>
    <row r="2120" spans="3:27">
      <c r="C2120" s="50"/>
      <c r="O2120" s="353"/>
      <c r="AA2120" s="353"/>
    </row>
    <row r="2121" spans="3:27">
      <c r="C2121" s="50"/>
      <c r="O2121" s="353"/>
      <c r="AA2121" s="353"/>
    </row>
    <row r="2122" spans="3:27">
      <c r="C2122" s="50"/>
      <c r="O2122" s="353"/>
      <c r="AA2122" s="353"/>
    </row>
    <row r="2123" spans="3:27">
      <c r="C2123" s="50"/>
      <c r="O2123" s="353"/>
      <c r="AA2123" s="353"/>
    </row>
    <row r="2124" spans="3:27">
      <c r="C2124" s="50"/>
      <c r="O2124" s="353"/>
      <c r="AA2124" s="353"/>
    </row>
    <row r="2125" spans="3:27">
      <c r="C2125" s="50"/>
      <c r="O2125" s="353"/>
      <c r="AA2125" s="353"/>
    </row>
    <row r="2126" spans="3:27">
      <c r="C2126" s="50"/>
      <c r="O2126" s="353"/>
      <c r="AA2126" s="353"/>
    </row>
    <row r="2127" spans="3:27">
      <c r="C2127" s="50"/>
      <c r="O2127" s="353"/>
      <c r="AA2127" s="353"/>
    </row>
    <row r="2128" spans="3:27">
      <c r="C2128" s="50"/>
      <c r="O2128" s="353"/>
      <c r="AA2128" s="353"/>
    </row>
    <row r="2129" spans="3:27">
      <c r="C2129" s="50"/>
      <c r="O2129" s="353"/>
      <c r="AA2129" s="353"/>
    </row>
    <row r="2130" spans="3:27">
      <c r="C2130" s="50"/>
      <c r="O2130" s="353"/>
      <c r="AA2130" s="353"/>
    </row>
    <row r="2131" spans="3:27">
      <c r="C2131" s="50"/>
      <c r="O2131" s="353"/>
      <c r="AA2131" s="353"/>
    </row>
    <row r="2132" spans="3:27">
      <c r="C2132" s="50"/>
      <c r="O2132" s="353"/>
      <c r="AA2132" s="353"/>
    </row>
    <row r="2133" spans="3:27">
      <c r="C2133" s="50"/>
      <c r="O2133" s="353"/>
      <c r="AA2133" s="353"/>
    </row>
    <row r="2134" spans="3:27">
      <c r="C2134" s="50"/>
      <c r="O2134" s="353"/>
      <c r="AA2134" s="353"/>
    </row>
    <row r="2135" spans="3:27">
      <c r="C2135" s="50"/>
      <c r="O2135" s="353"/>
      <c r="AA2135" s="353"/>
    </row>
    <row r="2136" spans="3:27">
      <c r="C2136" s="50"/>
      <c r="O2136" s="353"/>
      <c r="AA2136" s="353"/>
    </row>
    <row r="2137" spans="3:27">
      <c r="C2137" s="50"/>
      <c r="O2137" s="353"/>
      <c r="AA2137" s="353"/>
    </row>
    <row r="2138" spans="3:27">
      <c r="C2138" s="50"/>
      <c r="O2138" s="353"/>
      <c r="AA2138" s="353"/>
    </row>
    <row r="2139" spans="3:27">
      <c r="C2139" s="50"/>
      <c r="O2139" s="353"/>
      <c r="AA2139" s="353"/>
    </row>
    <row r="2140" spans="3:27">
      <c r="C2140" s="50"/>
      <c r="O2140" s="353"/>
      <c r="AA2140" s="353"/>
    </row>
    <row r="2141" spans="3:27">
      <c r="C2141" s="50"/>
      <c r="O2141" s="353"/>
      <c r="AA2141" s="353"/>
    </row>
    <row r="2142" spans="3:27">
      <c r="C2142" s="50"/>
      <c r="O2142" s="353"/>
      <c r="AA2142" s="353"/>
    </row>
    <row r="2143" spans="3:27">
      <c r="C2143" s="50"/>
      <c r="O2143" s="353"/>
      <c r="AA2143" s="353"/>
    </row>
    <row r="2144" spans="3:27">
      <c r="C2144" s="50"/>
      <c r="O2144" s="353"/>
      <c r="AA2144" s="353"/>
    </row>
    <row r="2145" spans="3:27">
      <c r="C2145" s="50"/>
      <c r="O2145" s="353"/>
      <c r="AA2145" s="353"/>
    </row>
    <row r="2146" spans="3:27">
      <c r="C2146" s="50"/>
      <c r="O2146" s="353"/>
      <c r="AA2146" s="353"/>
    </row>
    <row r="2147" spans="3:27">
      <c r="C2147" s="50"/>
      <c r="O2147" s="353"/>
      <c r="AA2147" s="353"/>
    </row>
    <row r="2148" spans="3:27">
      <c r="C2148" s="50"/>
      <c r="O2148" s="353"/>
      <c r="AA2148" s="353"/>
    </row>
    <row r="2149" spans="3:27">
      <c r="C2149" s="50"/>
      <c r="O2149" s="353"/>
      <c r="AA2149" s="353"/>
    </row>
    <row r="2150" spans="3:27">
      <c r="C2150" s="50"/>
      <c r="O2150" s="353"/>
      <c r="AA2150" s="353"/>
    </row>
    <row r="2151" spans="3:27">
      <c r="C2151" s="50"/>
      <c r="O2151" s="353"/>
      <c r="AA2151" s="353"/>
    </row>
    <row r="2152" spans="3:27">
      <c r="C2152" s="50"/>
      <c r="O2152" s="353"/>
      <c r="AA2152" s="353"/>
    </row>
    <row r="2153" spans="3:27">
      <c r="C2153" s="50"/>
      <c r="O2153" s="353"/>
      <c r="AA2153" s="353"/>
    </row>
    <row r="2154" spans="3:27">
      <c r="C2154" s="50"/>
      <c r="O2154" s="353"/>
      <c r="AA2154" s="353"/>
    </row>
    <row r="2155" spans="3:27">
      <c r="C2155" s="50"/>
      <c r="O2155" s="353"/>
      <c r="AA2155" s="353"/>
    </row>
    <row r="2156" spans="3:27">
      <c r="C2156" s="50"/>
      <c r="O2156" s="353"/>
      <c r="AA2156" s="353"/>
    </row>
    <row r="2157" spans="3:27">
      <c r="C2157" s="50"/>
      <c r="O2157" s="353"/>
      <c r="AA2157" s="353"/>
    </row>
    <row r="2158" spans="3:27">
      <c r="C2158" s="50"/>
      <c r="O2158" s="353"/>
      <c r="AA2158" s="353"/>
    </row>
    <row r="2159" spans="3:27">
      <c r="C2159" s="50"/>
      <c r="O2159" s="353"/>
      <c r="AA2159" s="353"/>
    </row>
    <row r="2160" spans="3:27">
      <c r="C2160" s="50"/>
      <c r="O2160" s="353"/>
      <c r="AA2160" s="353"/>
    </row>
    <row r="2161" spans="3:27">
      <c r="C2161" s="50"/>
      <c r="O2161" s="353"/>
      <c r="AA2161" s="353"/>
    </row>
    <row r="2162" spans="3:27">
      <c r="C2162" s="50"/>
      <c r="O2162" s="353"/>
      <c r="AA2162" s="353"/>
    </row>
    <row r="2163" spans="3:27">
      <c r="C2163" s="50"/>
      <c r="O2163" s="353"/>
      <c r="AA2163" s="353"/>
    </row>
    <row r="2164" spans="3:27">
      <c r="C2164" s="50"/>
      <c r="O2164" s="353"/>
      <c r="AA2164" s="353"/>
    </row>
    <row r="2165" spans="3:27">
      <c r="C2165" s="50"/>
      <c r="O2165" s="353"/>
      <c r="AA2165" s="353"/>
    </row>
    <row r="2166" spans="3:27">
      <c r="C2166" s="50"/>
      <c r="O2166" s="353"/>
      <c r="AA2166" s="353"/>
    </row>
    <row r="2167" spans="3:27">
      <c r="C2167" s="50"/>
      <c r="O2167" s="353"/>
      <c r="AA2167" s="353"/>
    </row>
    <row r="2168" spans="3:27">
      <c r="C2168" s="50"/>
      <c r="O2168" s="353"/>
      <c r="AA2168" s="353"/>
    </row>
    <row r="2169" spans="3:27">
      <c r="C2169" s="50"/>
      <c r="O2169" s="353"/>
      <c r="AA2169" s="353"/>
    </row>
    <row r="2170" spans="3:27">
      <c r="C2170" s="50"/>
      <c r="O2170" s="353"/>
      <c r="AA2170" s="353"/>
    </row>
    <row r="2171" spans="3:27">
      <c r="C2171" s="50"/>
      <c r="O2171" s="353"/>
      <c r="AA2171" s="353"/>
    </row>
    <row r="2172" spans="3:27">
      <c r="C2172" s="50"/>
      <c r="O2172" s="353"/>
      <c r="AA2172" s="353"/>
    </row>
    <row r="2173" spans="3:27">
      <c r="C2173" s="50"/>
      <c r="O2173" s="353"/>
      <c r="AA2173" s="353"/>
    </row>
    <row r="2174" spans="3:27">
      <c r="C2174" s="50"/>
      <c r="O2174" s="353"/>
      <c r="AA2174" s="353"/>
    </row>
    <row r="2175" spans="3:27">
      <c r="C2175" s="50"/>
      <c r="O2175" s="353"/>
      <c r="AA2175" s="353"/>
    </row>
    <row r="2176" spans="3:27">
      <c r="C2176" s="50"/>
      <c r="O2176" s="353"/>
      <c r="AA2176" s="353"/>
    </row>
    <row r="2177" spans="3:27">
      <c r="C2177" s="50"/>
      <c r="O2177" s="353"/>
      <c r="AA2177" s="353"/>
    </row>
    <row r="2178" spans="3:27">
      <c r="C2178" s="50"/>
      <c r="O2178" s="353"/>
      <c r="AA2178" s="353"/>
    </row>
    <row r="2179" spans="3:27">
      <c r="C2179" s="50"/>
      <c r="O2179" s="353"/>
      <c r="AA2179" s="353"/>
    </row>
    <row r="2180" spans="3:27">
      <c r="C2180" s="50"/>
      <c r="O2180" s="353"/>
      <c r="AA2180" s="353"/>
    </row>
    <row r="2181" spans="3:27">
      <c r="C2181" s="50"/>
      <c r="O2181" s="353"/>
      <c r="AA2181" s="353"/>
    </row>
    <row r="2182" spans="3:27">
      <c r="C2182" s="50"/>
      <c r="O2182" s="353"/>
      <c r="AA2182" s="353"/>
    </row>
    <row r="2183" spans="3:27">
      <c r="C2183" s="50"/>
      <c r="O2183" s="353"/>
      <c r="AA2183" s="353"/>
    </row>
    <row r="2184" spans="3:27">
      <c r="C2184" s="50"/>
      <c r="O2184" s="353"/>
      <c r="AA2184" s="353"/>
    </row>
    <row r="2185" spans="3:27">
      <c r="C2185" s="50"/>
      <c r="O2185" s="353"/>
      <c r="AA2185" s="353"/>
    </row>
    <row r="2186" spans="3:27">
      <c r="C2186" s="50"/>
      <c r="O2186" s="353"/>
      <c r="AA2186" s="353"/>
    </row>
    <row r="2187" spans="3:27">
      <c r="C2187" s="50"/>
      <c r="O2187" s="353"/>
      <c r="AA2187" s="353"/>
    </row>
    <row r="2188" spans="3:27">
      <c r="C2188" s="50"/>
      <c r="O2188" s="353"/>
      <c r="AA2188" s="353"/>
    </row>
    <row r="2189" spans="3:27">
      <c r="C2189" s="50"/>
      <c r="O2189" s="353"/>
      <c r="AA2189" s="353"/>
    </row>
    <row r="2190" spans="3:27">
      <c r="C2190" s="50"/>
      <c r="O2190" s="353"/>
      <c r="AA2190" s="353"/>
    </row>
    <row r="2191" spans="3:27">
      <c r="C2191" s="50"/>
      <c r="O2191" s="353"/>
      <c r="AA2191" s="353"/>
    </row>
    <row r="2192" spans="3:27">
      <c r="C2192" s="50"/>
      <c r="O2192" s="353"/>
      <c r="AA2192" s="353"/>
    </row>
    <row r="2193" spans="3:27">
      <c r="C2193" s="50"/>
      <c r="O2193" s="353"/>
      <c r="AA2193" s="353"/>
    </row>
    <row r="2194" spans="3:27">
      <c r="C2194" s="50"/>
      <c r="O2194" s="353"/>
      <c r="AA2194" s="353"/>
    </row>
    <row r="2195" spans="3:27">
      <c r="C2195" s="50"/>
      <c r="O2195" s="353"/>
      <c r="AA2195" s="353"/>
    </row>
    <row r="2196" spans="3:27">
      <c r="C2196" s="50"/>
      <c r="O2196" s="353"/>
      <c r="AA2196" s="353"/>
    </row>
    <row r="2197" spans="3:27">
      <c r="C2197" s="50"/>
      <c r="O2197" s="353"/>
      <c r="AA2197" s="353"/>
    </row>
    <row r="2198" spans="3:27">
      <c r="C2198" s="50"/>
      <c r="O2198" s="353"/>
      <c r="AA2198" s="353"/>
    </row>
    <row r="2199" spans="3:27">
      <c r="C2199" s="50"/>
      <c r="O2199" s="353"/>
      <c r="AA2199" s="353"/>
    </row>
    <row r="2200" spans="3:27">
      <c r="C2200" s="50"/>
      <c r="O2200" s="353"/>
      <c r="AA2200" s="353"/>
    </row>
    <row r="2201" spans="3:27">
      <c r="C2201" s="50"/>
      <c r="O2201" s="353"/>
      <c r="AA2201" s="353"/>
    </row>
    <row r="2202" spans="3:27">
      <c r="C2202" s="50"/>
      <c r="O2202" s="353"/>
      <c r="AA2202" s="353"/>
    </row>
    <row r="2203" spans="3:27">
      <c r="C2203" s="50"/>
      <c r="O2203" s="353"/>
      <c r="AA2203" s="353"/>
    </row>
    <row r="2204" spans="3:27">
      <c r="C2204" s="50"/>
      <c r="O2204" s="353"/>
      <c r="AA2204" s="353"/>
    </row>
    <row r="2205" spans="3:27">
      <c r="C2205" s="50"/>
      <c r="O2205" s="353"/>
      <c r="AA2205" s="353"/>
    </row>
    <row r="2206" spans="3:27">
      <c r="C2206" s="50"/>
      <c r="O2206" s="353"/>
      <c r="AA2206" s="353"/>
    </row>
    <row r="2207" spans="3:27">
      <c r="C2207" s="50"/>
      <c r="O2207" s="353"/>
      <c r="AA2207" s="353"/>
    </row>
    <row r="2208" spans="3:27">
      <c r="C2208" s="50"/>
      <c r="O2208" s="353"/>
      <c r="AA2208" s="353"/>
    </row>
    <row r="2209" spans="3:27">
      <c r="C2209" s="50"/>
      <c r="O2209" s="353"/>
      <c r="AA2209" s="353"/>
    </row>
    <row r="2210" spans="3:27">
      <c r="C2210" s="50"/>
      <c r="O2210" s="353"/>
      <c r="AA2210" s="353"/>
    </row>
    <row r="2211" spans="3:27">
      <c r="C2211" s="50"/>
      <c r="O2211" s="353"/>
      <c r="AA2211" s="353"/>
    </row>
    <row r="2212" spans="3:27">
      <c r="C2212" s="50"/>
      <c r="O2212" s="353"/>
      <c r="AA2212" s="353"/>
    </row>
    <row r="2213" spans="3:27">
      <c r="C2213" s="50"/>
      <c r="O2213" s="353"/>
      <c r="AA2213" s="353"/>
    </row>
    <row r="2214" spans="3:27">
      <c r="C2214" s="50"/>
      <c r="O2214" s="353"/>
      <c r="AA2214" s="353"/>
    </row>
    <row r="2215" spans="3:27">
      <c r="C2215" s="50"/>
      <c r="O2215" s="353"/>
      <c r="AA2215" s="353"/>
    </row>
    <row r="2216" spans="3:27">
      <c r="C2216" s="50"/>
      <c r="O2216" s="353"/>
      <c r="AA2216" s="353"/>
    </row>
    <row r="2217" spans="3:27">
      <c r="C2217" s="50"/>
      <c r="O2217" s="353"/>
      <c r="AA2217" s="353"/>
    </row>
    <row r="2218" spans="3:27">
      <c r="C2218" s="50"/>
      <c r="O2218" s="353"/>
      <c r="AA2218" s="353"/>
    </row>
    <row r="2219" spans="3:27">
      <c r="C2219" s="50"/>
      <c r="O2219" s="353"/>
      <c r="AA2219" s="353"/>
    </row>
    <row r="2220" spans="3:27">
      <c r="C2220" s="50"/>
      <c r="O2220" s="353"/>
      <c r="AA2220" s="353"/>
    </row>
    <row r="2221" spans="3:27">
      <c r="C2221" s="50"/>
      <c r="O2221" s="353"/>
      <c r="AA2221" s="353"/>
    </row>
    <row r="2222" spans="3:27">
      <c r="C2222" s="50"/>
      <c r="O2222" s="353"/>
      <c r="AA2222" s="353"/>
    </row>
    <row r="2223" spans="3:27">
      <c r="C2223" s="50"/>
      <c r="O2223" s="353"/>
      <c r="AA2223" s="353"/>
    </row>
    <row r="2224" spans="3:27">
      <c r="C2224" s="50"/>
      <c r="O2224" s="353"/>
      <c r="AA2224" s="353"/>
    </row>
    <row r="2225" spans="3:27">
      <c r="C2225" s="50"/>
      <c r="O2225" s="353"/>
      <c r="AA2225" s="353"/>
    </row>
    <row r="2226" spans="3:27">
      <c r="C2226" s="50"/>
      <c r="O2226" s="353"/>
      <c r="AA2226" s="353"/>
    </row>
    <row r="2227" spans="3:27">
      <c r="C2227" s="50"/>
      <c r="O2227" s="353"/>
      <c r="AA2227" s="353"/>
    </row>
    <row r="2228" spans="3:27">
      <c r="C2228" s="50"/>
      <c r="O2228" s="353"/>
      <c r="AA2228" s="353"/>
    </row>
    <row r="2229" spans="3:27">
      <c r="C2229" s="50"/>
      <c r="O2229" s="353"/>
      <c r="AA2229" s="353"/>
    </row>
    <row r="2230" spans="3:27">
      <c r="C2230" s="50"/>
      <c r="O2230" s="353"/>
      <c r="AA2230" s="353"/>
    </row>
    <row r="2231" spans="3:27">
      <c r="C2231" s="50"/>
      <c r="O2231" s="353"/>
      <c r="AA2231" s="353"/>
    </row>
    <row r="2232" spans="3:27">
      <c r="C2232" s="50"/>
      <c r="O2232" s="353"/>
      <c r="AA2232" s="353"/>
    </row>
    <row r="2233" spans="3:27">
      <c r="C2233" s="50"/>
      <c r="O2233" s="353"/>
      <c r="AA2233" s="353"/>
    </row>
    <row r="2234" spans="3:27">
      <c r="C2234" s="50"/>
      <c r="O2234" s="353"/>
      <c r="AA2234" s="353"/>
    </row>
    <row r="2235" spans="3:27">
      <c r="C2235" s="50"/>
      <c r="O2235" s="353"/>
      <c r="AA2235" s="353"/>
    </row>
    <row r="2236" spans="3:27">
      <c r="C2236" s="50"/>
      <c r="O2236" s="353"/>
      <c r="AA2236" s="353"/>
    </row>
    <row r="2237" spans="3:27">
      <c r="C2237" s="50"/>
      <c r="O2237" s="353"/>
      <c r="AA2237" s="353"/>
    </row>
    <row r="2238" spans="3:27">
      <c r="C2238" s="50"/>
      <c r="O2238" s="353"/>
      <c r="AA2238" s="353"/>
    </row>
    <row r="2239" spans="3:27">
      <c r="C2239" s="50"/>
      <c r="O2239" s="353"/>
      <c r="AA2239" s="353"/>
    </row>
    <row r="2240" spans="3:27">
      <c r="C2240" s="50"/>
      <c r="O2240" s="353"/>
      <c r="AA2240" s="353"/>
    </row>
    <row r="2241" spans="3:27">
      <c r="C2241" s="50"/>
      <c r="O2241" s="353"/>
      <c r="AA2241" s="353"/>
    </row>
    <row r="2242" spans="3:27">
      <c r="C2242" s="50"/>
      <c r="O2242" s="353"/>
      <c r="AA2242" s="353"/>
    </row>
    <row r="2243" spans="3:27">
      <c r="C2243" s="50"/>
      <c r="O2243" s="353"/>
      <c r="AA2243" s="353"/>
    </row>
    <row r="2244" spans="3:27">
      <c r="C2244" s="50"/>
      <c r="O2244" s="353"/>
      <c r="AA2244" s="353"/>
    </row>
    <row r="2245" spans="3:27">
      <c r="C2245" s="50"/>
      <c r="O2245" s="353"/>
      <c r="AA2245" s="353"/>
    </row>
    <row r="2246" spans="3:27">
      <c r="C2246" s="50"/>
      <c r="O2246" s="353"/>
      <c r="AA2246" s="353"/>
    </row>
    <row r="2247" spans="3:27">
      <c r="C2247" s="50"/>
      <c r="O2247" s="353"/>
      <c r="AA2247" s="353"/>
    </row>
    <row r="2248" spans="3:27">
      <c r="C2248" s="50"/>
      <c r="O2248" s="353"/>
      <c r="AA2248" s="353"/>
    </row>
    <row r="2249" spans="3:27">
      <c r="C2249" s="50"/>
      <c r="O2249" s="353"/>
      <c r="AA2249" s="353"/>
    </row>
    <row r="2250" spans="3:27">
      <c r="C2250" s="50"/>
      <c r="O2250" s="353"/>
      <c r="AA2250" s="353"/>
    </row>
    <row r="2251" spans="3:27">
      <c r="C2251" s="50"/>
      <c r="O2251" s="353"/>
      <c r="AA2251" s="353"/>
    </row>
    <row r="2252" spans="3:27">
      <c r="C2252" s="50"/>
      <c r="O2252" s="353"/>
      <c r="AA2252" s="353"/>
    </row>
    <row r="2253" spans="3:27">
      <c r="C2253" s="50"/>
      <c r="O2253" s="353"/>
      <c r="AA2253" s="353"/>
    </row>
    <row r="2254" spans="3:27">
      <c r="C2254" s="50"/>
      <c r="O2254" s="353"/>
      <c r="AA2254" s="353"/>
    </row>
    <row r="2255" spans="3:27">
      <c r="C2255" s="50"/>
      <c r="O2255" s="353"/>
      <c r="AA2255" s="353"/>
    </row>
    <row r="2256" spans="3:27">
      <c r="C2256" s="50"/>
      <c r="O2256" s="353"/>
      <c r="AA2256" s="353"/>
    </row>
    <row r="2257" spans="3:27">
      <c r="C2257" s="50"/>
      <c r="O2257" s="353"/>
      <c r="AA2257" s="353"/>
    </row>
    <row r="2258" spans="3:27">
      <c r="C2258" s="50"/>
      <c r="O2258" s="353"/>
      <c r="AA2258" s="353"/>
    </row>
    <row r="2259" spans="3:27">
      <c r="C2259" s="50"/>
      <c r="O2259" s="353"/>
      <c r="AA2259" s="353"/>
    </row>
    <row r="2260" spans="3:27">
      <c r="C2260" s="50"/>
      <c r="O2260" s="353"/>
      <c r="AA2260" s="353"/>
    </row>
    <row r="2261" spans="3:27">
      <c r="C2261" s="50"/>
      <c r="O2261" s="353"/>
      <c r="AA2261" s="353"/>
    </row>
    <row r="2262" spans="3:27">
      <c r="C2262" s="50"/>
      <c r="O2262" s="353"/>
      <c r="AA2262" s="353"/>
    </row>
    <row r="2263" spans="3:27">
      <c r="C2263" s="50"/>
      <c r="O2263" s="353"/>
      <c r="AA2263" s="353"/>
    </row>
    <row r="2264" spans="3:27">
      <c r="C2264" s="50"/>
      <c r="O2264" s="353"/>
      <c r="AA2264" s="353"/>
    </row>
    <row r="2265" spans="3:27">
      <c r="C2265" s="50"/>
      <c r="O2265" s="353"/>
      <c r="AA2265" s="353"/>
    </row>
    <row r="2266" spans="3:27">
      <c r="C2266" s="50"/>
      <c r="O2266" s="353"/>
      <c r="AA2266" s="353"/>
    </row>
    <row r="2267" spans="3:27">
      <c r="C2267" s="50"/>
      <c r="O2267" s="353"/>
      <c r="AA2267" s="353"/>
    </row>
    <row r="2268" spans="3:27">
      <c r="C2268" s="50"/>
      <c r="O2268" s="353"/>
      <c r="AA2268" s="353"/>
    </row>
    <row r="2269" spans="3:27">
      <c r="C2269" s="50"/>
      <c r="O2269" s="353"/>
      <c r="AA2269" s="353"/>
    </row>
    <row r="2270" spans="3:27">
      <c r="C2270" s="50"/>
      <c r="O2270" s="353"/>
      <c r="AA2270" s="353"/>
    </row>
    <row r="2271" spans="3:27">
      <c r="C2271" s="50"/>
      <c r="O2271" s="353"/>
      <c r="AA2271" s="353"/>
    </row>
    <row r="2272" spans="3:27">
      <c r="C2272" s="50"/>
      <c r="O2272" s="353"/>
      <c r="AA2272" s="353"/>
    </row>
    <row r="2273" spans="3:27">
      <c r="C2273" s="50"/>
      <c r="O2273" s="353"/>
      <c r="AA2273" s="353"/>
    </row>
    <row r="2274" spans="3:27">
      <c r="C2274" s="50"/>
      <c r="O2274" s="353"/>
      <c r="AA2274" s="353"/>
    </row>
    <row r="2275" spans="3:27">
      <c r="C2275" s="50"/>
      <c r="O2275" s="353"/>
      <c r="AA2275" s="353"/>
    </row>
    <row r="2276" spans="3:27">
      <c r="C2276" s="50"/>
      <c r="O2276" s="353"/>
      <c r="AA2276" s="353"/>
    </row>
    <row r="2277" spans="3:27">
      <c r="C2277" s="50"/>
      <c r="O2277" s="353"/>
      <c r="AA2277" s="353"/>
    </row>
    <row r="2278" spans="3:27">
      <c r="C2278" s="50"/>
      <c r="O2278" s="353"/>
      <c r="AA2278" s="353"/>
    </row>
    <row r="2279" spans="3:27">
      <c r="C2279" s="50"/>
      <c r="O2279" s="353"/>
      <c r="AA2279" s="353"/>
    </row>
    <row r="2280" spans="3:27">
      <c r="C2280" s="50"/>
      <c r="O2280" s="353"/>
      <c r="AA2280" s="353"/>
    </row>
    <row r="2281" spans="3:27">
      <c r="C2281" s="50"/>
      <c r="O2281" s="353"/>
      <c r="AA2281" s="353"/>
    </row>
    <row r="2282" spans="3:27">
      <c r="C2282" s="50"/>
      <c r="O2282" s="353"/>
      <c r="AA2282" s="353"/>
    </row>
    <row r="2283" spans="3:27">
      <c r="C2283" s="50"/>
      <c r="O2283" s="353"/>
      <c r="AA2283" s="353"/>
    </row>
    <row r="2284" spans="3:27">
      <c r="C2284" s="50"/>
      <c r="O2284" s="353"/>
      <c r="AA2284" s="353"/>
    </row>
    <row r="2285" spans="3:27">
      <c r="C2285" s="50"/>
      <c r="O2285" s="353"/>
      <c r="AA2285" s="353"/>
    </row>
    <row r="2286" spans="3:27">
      <c r="C2286" s="50"/>
      <c r="O2286" s="353"/>
      <c r="AA2286" s="353"/>
    </row>
    <row r="2287" spans="3:27">
      <c r="C2287" s="50"/>
      <c r="O2287" s="353"/>
      <c r="AA2287" s="353"/>
    </row>
    <row r="2288" spans="3:27">
      <c r="C2288" s="50"/>
      <c r="O2288" s="353"/>
      <c r="AA2288" s="353"/>
    </row>
    <row r="2289" spans="3:27">
      <c r="C2289" s="50"/>
      <c r="O2289" s="353"/>
      <c r="AA2289" s="353"/>
    </row>
    <row r="2290" spans="3:27">
      <c r="C2290" s="50"/>
      <c r="O2290" s="353"/>
      <c r="AA2290" s="353"/>
    </row>
    <row r="2291" spans="3:27">
      <c r="C2291" s="50"/>
      <c r="O2291" s="353"/>
      <c r="AA2291" s="353"/>
    </row>
    <row r="2292" spans="3:27">
      <c r="C2292" s="50"/>
      <c r="O2292" s="353"/>
      <c r="AA2292" s="353"/>
    </row>
    <row r="2293" spans="3:27">
      <c r="C2293" s="50"/>
      <c r="O2293" s="353"/>
      <c r="AA2293" s="353"/>
    </row>
    <row r="2294" spans="3:27">
      <c r="C2294" s="50"/>
      <c r="O2294" s="353"/>
      <c r="AA2294" s="353"/>
    </row>
    <row r="2295" spans="3:27">
      <c r="C2295" s="50"/>
      <c r="O2295" s="353"/>
      <c r="AA2295" s="353"/>
    </row>
    <row r="2296" spans="3:27">
      <c r="C2296" s="50"/>
      <c r="O2296" s="353"/>
      <c r="AA2296" s="353"/>
    </row>
    <row r="2297" spans="3:27">
      <c r="C2297" s="50"/>
      <c r="O2297" s="353"/>
      <c r="AA2297" s="353"/>
    </row>
    <row r="2298" spans="3:27">
      <c r="C2298" s="50"/>
      <c r="O2298" s="353"/>
      <c r="AA2298" s="353"/>
    </row>
    <row r="2299" spans="3:27">
      <c r="C2299" s="50"/>
      <c r="O2299" s="353"/>
      <c r="AA2299" s="353"/>
    </row>
    <row r="2300" spans="3:27">
      <c r="C2300" s="50"/>
      <c r="O2300" s="353"/>
      <c r="AA2300" s="353"/>
    </row>
    <row r="2301" spans="3:27">
      <c r="C2301" s="50"/>
      <c r="O2301" s="353"/>
      <c r="AA2301" s="353"/>
    </row>
    <row r="2302" spans="3:27">
      <c r="C2302" s="50"/>
      <c r="O2302" s="353"/>
      <c r="AA2302" s="353"/>
    </row>
    <row r="2303" spans="3:27">
      <c r="C2303" s="50"/>
      <c r="O2303" s="353"/>
      <c r="AA2303" s="353"/>
    </row>
    <row r="2304" spans="3:27">
      <c r="C2304" s="50"/>
      <c r="O2304" s="353"/>
      <c r="AA2304" s="353"/>
    </row>
    <row r="2305" spans="3:27">
      <c r="C2305" s="50"/>
      <c r="O2305" s="353"/>
      <c r="AA2305" s="353"/>
    </row>
    <row r="2306" spans="3:27">
      <c r="C2306" s="50"/>
      <c r="O2306" s="353"/>
      <c r="AA2306" s="353"/>
    </row>
    <row r="2307" spans="3:27">
      <c r="C2307" s="50"/>
      <c r="O2307" s="353"/>
      <c r="AA2307" s="353"/>
    </row>
    <row r="2308" spans="3:27">
      <c r="C2308" s="50"/>
      <c r="O2308" s="353"/>
      <c r="AA2308" s="353"/>
    </row>
    <row r="2309" spans="3:27">
      <c r="C2309" s="50"/>
      <c r="O2309" s="353"/>
      <c r="AA2309" s="353"/>
    </row>
    <row r="2310" spans="3:27">
      <c r="C2310" s="50"/>
      <c r="O2310" s="353"/>
      <c r="AA2310" s="353"/>
    </row>
    <row r="2311" spans="3:27">
      <c r="C2311" s="50"/>
      <c r="O2311" s="353"/>
      <c r="AA2311" s="353"/>
    </row>
    <row r="2312" spans="3:27">
      <c r="C2312" s="50"/>
      <c r="O2312" s="353"/>
      <c r="AA2312" s="353"/>
    </row>
    <row r="2313" spans="3:27">
      <c r="C2313" s="50"/>
      <c r="O2313" s="353"/>
      <c r="AA2313" s="353"/>
    </row>
    <row r="2314" spans="3:27">
      <c r="C2314" s="50"/>
      <c r="O2314" s="353"/>
      <c r="AA2314" s="353"/>
    </row>
    <row r="2315" spans="3:27">
      <c r="C2315" s="50"/>
      <c r="O2315" s="353"/>
      <c r="AA2315" s="353"/>
    </row>
    <row r="2316" spans="3:27">
      <c r="C2316" s="50"/>
      <c r="O2316" s="353"/>
      <c r="AA2316" s="353"/>
    </row>
    <row r="2317" spans="3:27">
      <c r="C2317" s="50"/>
      <c r="O2317" s="353"/>
      <c r="AA2317" s="353"/>
    </row>
    <row r="2318" spans="3:27">
      <c r="C2318" s="50"/>
      <c r="O2318" s="353"/>
      <c r="AA2318" s="353"/>
    </row>
    <row r="2319" spans="3:27">
      <c r="C2319" s="50"/>
      <c r="O2319" s="353"/>
      <c r="AA2319" s="353"/>
    </row>
    <row r="2320" spans="3:27">
      <c r="C2320" s="50"/>
      <c r="O2320" s="353"/>
      <c r="AA2320" s="353"/>
    </row>
    <row r="2321" spans="3:27">
      <c r="C2321" s="50"/>
      <c r="O2321" s="353"/>
      <c r="AA2321" s="353"/>
    </row>
    <row r="2322" spans="3:27">
      <c r="C2322" s="50"/>
      <c r="O2322" s="353"/>
      <c r="AA2322" s="353"/>
    </row>
    <row r="2323" spans="3:27">
      <c r="C2323" s="50"/>
      <c r="O2323" s="353"/>
      <c r="AA2323" s="353"/>
    </row>
    <row r="2324" spans="3:27">
      <c r="C2324" s="50"/>
      <c r="O2324" s="353"/>
      <c r="AA2324" s="353"/>
    </row>
    <row r="2325" spans="3:27">
      <c r="C2325" s="50"/>
      <c r="O2325" s="353"/>
      <c r="AA2325" s="353"/>
    </row>
    <row r="2326" spans="3:27">
      <c r="C2326" s="50"/>
      <c r="O2326" s="353"/>
      <c r="AA2326" s="353"/>
    </row>
    <row r="2327" spans="3:27">
      <c r="C2327" s="50"/>
      <c r="O2327" s="353"/>
      <c r="AA2327" s="353"/>
    </row>
    <row r="2328" spans="3:27">
      <c r="C2328" s="50"/>
      <c r="O2328" s="353"/>
      <c r="AA2328" s="353"/>
    </row>
    <row r="2329" spans="3:27">
      <c r="C2329" s="50"/>
      <c r="O2329" s="353"/>
      <c r="AA2329" s="353"/>
    </row>
    <row r="2330" spans="3:27">
      <c r="C2330" s="50"/>
      <c r="O2330" s="353"/>
      <c r="AA2330" s="353"/>
    </row>
    <row r="2331" spans="3:27">
      <c r="C2331" s="50"/>
      <c r="O2331" s="353"/>
      <c r="AA2331" s="353"/>
    </row>
    <row r="2332" spans="3:27">
      <c r="C2332" s="50"/>
      <c r="O2332" s="353"/>
      <c r="AA2332" s="353"/>
    </row>
    <row r="2333" spans="3:27">
      <c r="C2333" s="50"/>
      <c r="O2333" s="353"/>
      <c r="AA2333" s="353"/>
    </row>
    <row r="2334" spans="3:27">
      <c r="C2334" s="50"/>
      <c r="O2334" s="353"/>
      <c r="AA2334" s="353"/>
    </row>
    <row r="2335" spans="3:27">
      <c r="C2335" s="50"/>
      <c r="O2335" s="353"/>
      <c r="AA2335" s="353"/>
    </row>
    <row r="2336" spans="3:27">
      <c r="C2336" s="50"/>
      <c r="O2336" s="353"/>
      <c r="AA2336" s="353"/>
    </row>
    <row r="2337" spans="3:27">
      <c r="C2337" s="50"/>
      <c r="O2337" s="353"/>
      <c r="AA2337" s="353"/>
    </row>
    <row r="2338" spans="3:27">
      <c r="C2338" s="50"/>
      <c r="O2338" s="353"/>
      <c r="AA2338" s="353"/>
    </row>
    <row r="2339" spans="3:27">
      <c r="C2339" s="50"/>
      <c r="O2339" s="353"/>
      <c r="AA2339" s="353"/>
    </row>
    <row r="2340" spans="3:27">
      <c r="C2340" s="50"/>
      <c r="O2340" s="353"/>
      <c r="AA2340" s="353"/>
    </row>
    <row r="2341" spans="3:27">
      <c r="C2341" s="50"/>
      <c r="O2341" s="353"/>
      <c r="AA2341" s="353"/>
    </row>
    <row r="2342" spans="3:27">
      <c r="C2342" s="50"/>
      <c r="O2342" s="353"/>
      <c r="AA2342" s="353"/>
    </row>
    <row r="2343" spans="3:27">
      <c r="C2343" s="50"/>
      <c r="O2343" s="353"/>
      <c r="AA2343" s="353"/>
    </row>
    <row r="2344" spans="3:27">
      <c r="C2344" s="50"/>
      <c r="O2344" s="353"/>
      <c r="AA2344" s="353"/>
    </row>
    <row r="2345" spans="3:27">
      <c r="C2345" s="50"/>
      <c r="O2345" s="353"/>
      <c r="AA2345" s="353"/>
    </row>
    <row r="2346" spans="3:27">
      <c r="C2346" s="50"/>
      <c r="O2346" s="353"/>
      <c r="AA2346" s="353"/>
    </row>
    <row r="2347" spans="3:27">
      <c r="C2347" s="50"/>
      <c r="O2347" s="353"/>
      <c r="AA2347" s="353"/>
    </row>
    <row r="2348" spans="3:27">
      <c r="C2348" s="50"/>
      <c r="O2348" s="353"/>
      <c r="AA2348" s="353"/>
    </row>
    <row r="2349" spans="3:27">
      <c r="C2349" s="50"/>
      <c r="O2349" s="353"/>
      <c r="AA2349" s="353"/>
    </row>
    <row r="2350" spans="3:27">
      <c r="C2350" s="50"/>
      <c r="O2350" s="353"/>
      <c r="AA2350" s="353"/>
    </row>
    <row r="2351" spans="3:27">
      <c r="C2351" s="50"/>
      <c r="O2351" s="353"/>
      <c r="AA2351" s="353"/>
    </row>
    <row r="2352" spans="3:27">
      <c r="C2352" s="50"/>
      <c r="O2352" s="353"/>
      <c r="AA2352" s="353"/>
    </row>
    <row r="2353" spans="3:27">
      <c r="C2353" s="50"/>
      <c r="O2353" s="353"/>
      <c r="AA2353" s="353"/>
    </row>
    <row r="2354" spans="3:27">
      <c r="C2354" s="50"/>
      <c r="O2354" s="353"/>
      <c r="AA2354" s="353"/>
    </row>
    <row r="2355" spans="3:27">
      <c r="C2355" s="50"/>
      <c r="O2355" s="353"/>
      <c r="AA2355" s="353"/>
    </row>
    <row r="2356" spans="3:27">
      <c r="C2356" s="50"/>
      <c r="O2356" s="353"/>
      <c r="AA2356" s="353"/>
    </row>
    <row r="2357" spans="3:27">
      <c r="C2357" s="50"/>
      <c r="O2357" s="353"/>
      <c r="AA2357" s="353"/>
    </row>
    <row r="2358" spans="3:27">
      <c r="C2358" s="50"/>
      <c r="O2358" s="353"/>
      <c r="AA2358" s="353"/>
    </row>
    <row r="2359" spans="3:27">
      <c r="C2359" s="50"/>
      <c r="O2359" s="353"/>
      <c r="AA2359" s="353"/>
    </row>
    <row r="2360" spans="3:27">
      <c r="C2360" s="50"/>
      <c r="O2360" s="353"/>
      <c r="AA2360" s="353"/>
    </row>
    <row r="2361" spans="3:27">
      <c r="C2361" s="50"/>
      <c r="O2361" s="353"/>
      <c r="AA2361" s="353"/>
    </row>
    <row r="2362" spans="3:27">
      <c r="C2362" s="50"/>
      <c r="O2362" s="353"/>
      <c r="AA2362" s="353"/>
    </row>
    <row r="2363" spans="3:27">
      <c r="C2363" s="50"/>
      <c r="O2363" s="353"/>
      <c r="AA2363" s="353"/>
    </row>
    <row r="2364" spans="3:27">
      <c r="C2364" s="50"/>
      <c r="O2364" s="353"/>
      <c r="AA2364" s="353"/>
    </row>
    <row r="2365" spans="3:27">
      <c r="C2365" s="50"/>
      <c r="O2365" s="353"/>
      <c r="AA2365" s="353"/>
    </row>
    <row r="2366" spans="3:27">
      <c r="C2366" s="50"/>
      <c r="O2366" s="353"/>
      <c r="AA2366" s="353"/>
    </row>
    <row r="2367" spans="3:27">
      <c r="C2367" s="50"/>
      <c r="O2367" s="353"/>
      <c r="AA2367" s="353"/>
    </row>
    <row r="2368" spans="3:27">
      <c r="C2368" s="50"/>
      <c r="O2368" s="353"/>
      <c r="AA2368" s="353"/>
    </row>
    <row r="2369" spans="3:27">
      <c r="C2369" s="50"/>
      <c r="O2369" s="353"/>
      <c r="AA2369" s="353"/>
    </row>
    <row r="2370" spans="3:27">
      <c r="C2370" s="50"/>
      <c r="O2370" s="353"/>
      <c r="AA2370" s="353"/>
    </row>
    <row r="2371" spans="3:27">
      <c r="C2371" s="50"/>
      <c r="O2371" s="353"/>
      <c r="AA2371" s="353"/>
    </row>
    <row r="2372" spans="3:27">
      <c r="C2372" s="50"/>
      <c r="O2372" s="353"/>
      <c r="AA2372" s="353"/>
    </row>
    <row r="2373" spans="3:27">
      <c r="C2373" s="50"/>
      <c r="O2373" s="353"/>
      <c r="AA2373" s="353"/>
    </row>
    <row r="2374" spans="3:27">
      <c r="C2374" s="50"/>
      <c r="O2374" s="353"/>
      <c r="AA2374" s="353"/>
    </row>
    <row r="2375" spans="3:27">
      <c r="C2375" s="50"/>
      <c r="O2375" s="353"/>
      <c r="AA2375" s="353"/>
    </row>
    <row r="2376" spans="3:27">
      <c r="C2376" s="50"/>
      <c r="O2376" s="353"/>
      <c r="AA2376" s="353"/>
    </row>
    <row r="2377" spans="3:27">
      <c r="C2377" s="50"/>
      <c r="O2377" s="353"/>
      <c r="AA2377" s="353"/>
    </row>
    <row r="2378" spans="3:27">
      <c r="C2378" s="50"/>
      <c r="O2378" s="353"/>
      <c r="AA2378" s="353"/>
    </row>
    <row r="2379" spans="3:27">
      <c r="C2379" s="50"/>
      <c r="O2379" s="353"/>
      <c r="AA2379" s="353"/>
    </row>
    <row r="2380" spans="3:27">
      <c r="C2380" s="50"/>
      <c r="O2380" s="353"/>
      <c r="AA2380" s="353"/>
    </row>
    <row r="2381" spans="3:27">
      <c r="C2381" s="50"/>
      <c r="O2381" s="353"/>
      <c r="AA2381" s="353"/>
    </row>
    <row r="2382" spans="3:27">
      <c r="C2382" s="50"/>
      <c r="O2382" s="353"/>
      <c r="AA2382" s="353"/>
    </row>
    <row r="2383" spans="3:27">
      <c r="C2383" s="50"/>
      <c r="O2383" s="353"/>
      <c r="AA2383" s="353"/>
    </row>
    <row r="2384" spans="3:27">
      <c r="C2384" s="50"/>
      <c r="O2384" s="353"/>
      <c r="AA2384" s="353"/>
    </row>
    <row r="2385" spans="3:27">
      <c r="C2385" s="50"/>
      <c r="O2385" s="353"/>
      <c r="AA2385" s="353"/>
    </row>
    <row r="2386" spans="3:27">
      <c r="C2386" s="50"/>
      <c r="O2386" s="353"/>
      <c r="AA2386" s="353"/>
    </row>
    <row r="2387" spans="3:27">
      <c r="C2387" s="50"/>
      <c r="O2387" s="353"/>
      <c r="AA2387" s="353"/>
    </row>
    <row r="2388" spans="3:27">
      <c r="C2388" s="50"/>
      <c r="O2388" s="353"/>
      <c r="AA2388" s="353"/>
    </row>
    <row r="2389" spans="3:27">
      <c r="C2389" s="50"/>
      <c r="O2389" s="353"/>
      <c r="AA2389" s="353"/>
    </row>
    <row r="2390" spans="3:27">
      <c r="C2390" s="50"/>
      <c r="O2390" s="353"/>
      <c r="AA2390" s="353"/>
    </row>
    <row r="2391" spans="3:27">
      <c r="C2391" s="50"/>
      <c r="O2391" s="353"/>
      <c r="AA2391" s="353"/>
    </row>
    <row r="2392" spans="3:27">
      <c r="C2392" s="50"/>
      <c r="O2392" s="353"/>
      <c r="AA2392" s="353"/>
    </row>
    <row r="2393" spans="3:27">
      <c r="C2393" s="50"/>
      <c r="O2393" s="353"/>
      <c r="AA2393" s="353"/>
    </row>
    <row r="2394" spans="3:27">
      <c r="C2394" s="50"/>
      <c r="O2394" s="353"/>
      <c r="AA2394" s="353"/>
    </row>
    <row r="2395" spans="3:27">
      <c r="C2395" s="50"/>
      <c r="O2395" s="353"/>
      <c r="AA2395" s="353"/>
    </row>
    <row r="2396" spans="3:27">
      <c r="C2396" s="50"/>
      <c r="O2396" s="353"/>
      <c r="AA2396" s="353"/>
    </row>
    <row r="2397" spans="3:27">
      <c r="C2397" s="50"/>
      <c r="O2397" s="353"/>
      <c r="AA2397" s="353"/>
    </row>
    <row r="2398" spans="3:27">
      <c r="C2398" s="50"/>
      <c r="O2398" s="353"/>
      <c r="AA2398" s="353"/>
    </row>
    <row r="2399" spans="3:27">
      <c r="C2399" s="50"/>
      <c r="O2399" s="353"/>
      <c r="AA2399" s="353"/>
    </row>
    <row r="2400" spans="3:27">
      <c r="C2400" s="50"/>
      <c r="O2400" s="353"/>
      <c r="AA2400" s="353"/>
    </row>
    <row r="2401" spans="3:27">
      <c r="C2401" s="50"/>
      <c r="O2401" s="353"/>
      <c r="AA2401" s="353"/>
    </row>
    <row r="2402" spans="3:27">
      <c r="C2402" s="50"/>
      <c r="O2402" s="353"/>
      <c r="AA2402" s="353"/>
    </row>
    <row r="2403" spans="3:27">
      <c r="C2403" s="50"/>
      <c r="O2403" s="353"/>
      <c r="AA2403" s="353"/>
    </row>
    <row r="2404" spans="3:27">
      <c r="C2404" s="50"/>
      <c r="O2404" s="353"/>
      <c r="AA2404" s="353"/>
    </row>
    <row r="2405" spans="3:27">
      <c r="C2405" s="50"/>
      <c r="O2405" s="353"/>
      <c r="AA2405" s="353"/>
    </row>
    <row r="2406" spans="3:27">
      <c r="C2406" s="50"/>
      <c r="O2406" s="353"/>
      <c r="AA2406" s="353"/>
    </row>
    <row r="2407" spans="3:27">
      <c r="C2407" s="50"/>
      <c r="O2407" s="353"/>
      <c r="AA2407" s="353"/>
    </row>
    <row r="2408" spans="3:27">
      <c r="C2408" s="50"/>
      <c r="O2408" s="353"/>
      <c r="AA2408" s="353"/>
    </row>
    <row r="2409" spans="3:27">
      <c r="C2409" s="50"/>
      <c r="O2409" s="353"/>
      <c r="AA2409" s="353"/>
    </row>
    <row r="2410" spans="3:27">
      <c r="C2410" s="50"/>
      <c r="O2410" s="353"/>
      <c r="AA2410" s="353"/>
    </row>
    <row r="2411" spans="3:27">
      <c r="C2411" s="50"/>
      <c r="O2411" s="353"/>
      <c r="AA2411" s="353"/>
    </row>
    <row r="2412" spans="3:27">
      <c r="C2412" s="50"/>
      <c r="O2412" s="353"/>
      <c r="AA2412" s="353"/>
    </row>
    <row r="2413" spans="3:27">
      <c r="C2413" s="50"/>
      <c r="O2413" s="353"/>
      <c r="AA2413" s="353"/>
    </row>
    <row r="2414" spans="3:27">
      <c r="C2414" s="50"/>
      <c r="O2414" s="353"/>
      <c r="AA2414" s="353"/>
    </row>
    <row r="2415" spans="3:27">
      <c r="C2415" s="50"/>
      <c r="O2415" s="353"/>
      <c r="AA2415" s="353"/>
    </row>
    <row r="2416" spans="3:27">
      <c r="C2416" s="50"/>
      <c r="O2416" s="353"/>
      <c r="AA2416" s="353"/>
    </row>
    <row r="2417" spans="3:27">
      <c r="C2417" s="50"/>
      <c r="O2417" s="353"/>
      <c r="AA2417" s="353"/>
    </row>
    <row r="2418" spans="3:27">
      <c r="C2418" s="50"/>
      <c r="O2418" s="353"/>
      <c r="AA2418" s="353"/>
    </row>
    <row r="2419" spans="3:27">
      <c r="C2419" s="50"/>
      <c r="O2419" s="353"/>
      <c r="AA2419" s="353"/>
    </row>
    <row r="2420" spans="3:27">
      <c r="C2420" s="50"/>
      <c r="O2420" s="353"/>
      <c r="AA2420" s="353"/>
    </row>
    <row r="2421" spans="3:27">
      <c r="C2421" s="50"/>
      <c r="O2421" s="353"/>
      <c r="AA2421" s="353"/>
    </row>
    <row r="2422" spans="3:27">
      <c r="C2422" s="50"/>
      <c r="O2422" s="353"/>
      <c r="AA2422" s="353"/>
    </row>
    <row r="2423" spans="3:27">
      <c r="C2423" s="50"/>
      <c r="O2423" s="353"/>
      <c r="AA2423" s="353"/>
    </row>
    <row r="2424" spans="3:27">
      <c r="C2424" s="50"/>
      <c r="O2424" s="353"/>
      <c r="AA2424" s="353"/>
    </row>
    <row r="2425" spans="3:27">
      <c r="C2425" s="50"/>
      <c r="O2425" s="353"/>
      <c r="AA2425" s="353"/>
    </row>
    <row r="2426" spans="3:27">
      <c r="C2426" s="50"/>
      <c r="O2426" s="353"/>
      <c r="AA2426" s="353"/>
    </row>
    <row r="2427" spans="3:27">
      <c r="C2427" s="50"/>
      <c r="O2427" s="353"/>
      <c r="AA2427" s="353"/>
    </row>
    <row r="2428" spans="3:27">
      <c r="C2428" s="50"/>
      <c r="O2428" s="353"/>
      <c r="AA2428" s="353"/>
    </row>
    <row r="2429" spans="3:27">
      <c r="C2429" s="50"/>
      <c r="O2429" s="353"/>
      <c r="AA2429" s="353"/>
    </row>
    <row r="2430" spans="3:27">
      <c r="C2430" s="50"/>
      <c r="O2430" s="353"/>
      <c r="AA2430" s="353"/>
    </row>
    <row r="2431" spans="3:27">
      <c r="C2431" s="50"/>
      <c r="O2431" s="353"/>
      <c r="AA2431" s="353"/>
    </row>
    <row r="2432" spans="3:27">
      <c r="C2432" s="50"/>
      <c r="O2432" s="353"/>
      <c r="AA2432" s="353"/>
    </row>
    <row r="2433" spans="3:27">
      <c r="C2433" s="50"/>
      <c r="O2433" s="353"/>
      <c r="AA2433" s="353"/>
    </row>
    <row r="2434" spans="3:27">
      <c r="C2434" s="50"/>
      <c r="O2434" s="353"/>
      <c r="AA2434" s="353"/>
    </row>
    <row r="2435" spans="3:27">
      <c r="C2435" s="50"/>
      <c r="O2435" s="353"/>
      <c r="AA2435" s="353"/>
    </row>
    <row r="2436" spans="3:27">
      <c r="C2436" s="50"/>
      <c r="O2436" s="353"/>
      <c r="AA2436" s="353"/>
    </row>
    <row r="2437" spans="3:27">
      <c r="C2437" s="50"/>
      <c r="O2437" s="353"/>
      <c r="AA2437" s="353"/>
    </row>
    <row r="2438" spans="3:27">
      <c r="C2438" s="50"/>
      <c r="O2438" s="353"/>
      <c r="AA2438" s="353"/>
    </row>
    <row r="2439" spans="3:27">
      <c r="C2439" s="50"/>
      <c r="O2439" s="353"/>
      <c r="AA2439" s="353"/>
    </row>
    <row r="2440" spans="3:27">
      <c r="C2440" s="50"/>
      <c r="O2440" s="353"/>
      <c r="AA2440" s="353"/>
    </row>
    <row r="2441" spans="3:27">
      <c r="C2441" s="50"/>
      <c r="O2441" s="353"/>
      <c r="AA2441" s="353"/>
    </row>
    <row r="2442" spans="3:27">
      <c r="C2442" s="50"/>
      <c r="O2442" s="353"/>
      <c r="AA2442" s="353"/>
    </row>
    <row r="2443" spans="3:27">
      <c r="C2443" s="50"/>
      <c r="O2443" s="353"/>
      <c r="AA2443" s="353"/>
    </row>
    <row r="2444" spans="3:27">
      <c r="C2444" s="50"/>
      <c r="O2444" s="353"/>
      <c r="AA2444" s="353"/>
    </row>
    <row r="2445" spans="3:27">
      <c r="C2445" s="50"/>
      <c r="O2445" s="353"/>
      <c r="AA2445" s="353"/>
    </row>
    <row r="2446" spans="3:27">
      <c r="C2446" s="50"/>
      <c r="O2446" s="353"/>
      <c r="AA2446" s="353"/>
    </row>
    <row r="2447" spans="3:27">
      <c r="C2447" s="50"/>
      <c r="O2447" s="353"/>
      <c r="AA2447" s="353"/>
    </row>
    <row r="2448" spans="3:27">
      <c r="C2448" s="50"/>
      <c r="O2448" s="353"/>
      <c r="AA2448" s="353"/>
    </row>
    <row r="2449" spans="3:27">
      <c r="C2449" s="50"/>
      <c r="O2449" s="353"/>
      <c r="AA2449" s="353"/>
    </row>
    <row r="2450" spans="3:27">
      <c r="C2450" s="50"/>
      <c r="O2450" s="353"/>
      <c r="AA2450" s="353"/>
    </row>
    <row r="2451" spans="3:27">
      <c r="C2451" s="50"/>
      <c r="O2451" s="353"/>
      <c r="AA2451" s="353"/>
    </row>
    <row r="2452" spans="3:27">
      <c r="C2452" s="50"/>
      <c r="O2452" s="353"/>
      <c r="AA2452" s="353"/>
    </row>
    <row r="2453" spans="3:27">
      <c r="C2453" s="50"/>
      <c r="O2453" s="353"/>
      <c r="AA2453" s="353"/>
    </row>
    <row r="2454" spans="3:27">
      <c r="C2454" s="50"/>
      <c r="O2454" s="353"/>
      <c r="AA2454" s="353"/>
    </row>
    <row r="2455" spans="3:27">
      <c r="C2455" s="50"/>
      <c r="O2455" s="353"/>
      <c r="AA2455" s="353"/>
    </row>
    <row r="2456" spans="3:27">
      <c r="C2456" s="50"/>
      <c r="O2456" s="353"/>
      <c r="AA2456" s="353"/>
    </row>
    <row r="2457" spans="3:27">
      <c r="C2457" s="50"/>
      <c r="O2457" s="353"/>
      <c r="AA2457" s="353"/>
    </row>
    <row r="2458" spans="3:27">
      <c r="C2458" s="50"/>
      <c r="O2458" s="353"/>
      <c r="AA2458" s="353"/>
    </row>
    <row r="2459" spans="3:27">
      <c r="C2459" s="50"/>
      <c r="O2459" s="353"/>
      <c r="AA2459" s="353"/>
    </row>
    <row r="2460" spans="3:27">
      <c r="C2460" s="50"/>
      <c r="O2460" s="353"/>
      <c r="AA2460" s="353"/>
    </row>
    <row r="2461" spans="3:27">
      <c r="C2461" s="50"/>
      <c r="O2461" s="353"/>
      <c r="AA2461" s="353"/>
    </row>
    <row r="2462" spans="3:27">
      <c r="C2462" s="50"/>
      <c r="O2462" s="353"/>
      <c r="AA2462" s="353"/>
    </row>
    <row r="2463" spans="3:27">
      <c r="C2463" s="50"/>
      <c r="O2463" s="353"/>
      <c r="AA2463" s="353"/>
    </row>
    <row r="2464" spans="3:27">
      <c r="C2464" s="50"/>
      <c r="O2464" s="353"/>
      <c r="AA2464" s="353"/>
    </row>
    <row r="2465" spans="3:27">
      <c r="C2465" s="50"/>
      <c r="O2465" s="353"/>
      <c r="AA2465" s="353"/>
    </row>
    <row r="2466" spans="3:27">
      <c r="C2466" s="50"/>
      <c r="O2466" s="353"/>
      <c r="AA2466" s="353"/>
    </row>
    <row r="2467" spans="3:27">
      <c r="C2467" s="50"/>
      <c r="O2467" s="353"/>
      <c r="AA2467" s="353"/>
    </row>
    <row r="2468" spans="3:27">
      <c r="C2468" s="50"/>
      <c r="O2468" s="353"/>
      <c r="AA2468" s="353"/>
    </row>
    <row r="2469" spans="3:27">
      <c r="C2469" s="50"/>
      <c r="O2469" s="353"/>
      <c r="AA2469" s="353"/>
    </row>
    <row r="2470" spans="3:27">
      <c r="C2470" s="50"/>
      <c r="O2470" s="353"/>
      <c r="AA2470" s="353"/>
    </row>
    <row r="2471" spans="3:27">
      <c r="C2471" s="50"/>
      <c r="O2471" s="353"/>
      <c r="AA2471" s="353"/>
    </row>
    <row r="2472" spans="3:27">
      <c r="C2472" s="50"/>
      <c r="O2472" s="353"/>
      <c r="AA2472" s="353"/>
    </row>
    <row r="2473" spans="3:27">
      <c r="C2473" s="50"/>
      <c r="O2473" s="353"/>
      <c r="AA2473" s="353"/>
    </row>
    <row r="2474" spans="3:27">
      <c r="C2474" s="50"/>
      <c r="O2474" s="353"/>
      <c r="AA2474" s="353"/>
    </row>
    <row r="2475" spans="3:27">
      <c r="C2475" s="50"/>
      <c r="O2475" s="353"/>
      <c r="AA2475" s="353"/>
    </row>
    <row r="2476" spans="3:27">
      <c r="C2476" s="50"/>
      <c r="O2476" s="353"/>
      <c r="AA2476" s="353"/>
    </row>
    <row r="2477" spans="3:27">
      <c r="C2477" s="50"/>
      <c r="O2477" s="353"/>
      <c r="AA2477" s="353"/>
    </row>
    <row r="2478" spans="3:27">
      <c r="C2478" s="50"/>
      <c r="O2478" s="353"/>
      <c r="AA2478" s="353"/>
    </row>
    <row r="2479" spans="3:27">
      <c r="C2479" s="50"/>
      <c r="O2479" s="353"/>
      <c r="AA2479" s="353"/>
    </row>
    <row r="2480" spans="3:27">
      <c r="C2480" s="50"/>
      <c r="O2480" s="353"/>
      <c r="AA2480" s="353"/>
    </row>
    <row r="2481" spans="3:27">
      <c r="C2481" s="50"/>
      <c r="O2481" s="353"/>
      <c r="AA2481" s="353"/>
    </row>
    <row r="2482" spans="3:27">
      <c r="C2482" s="50"/>
      <c r="O2482" s="353"/>
      <c r="AA2482" s="353"/>
    </row>
    <row r="2483" spans="3:27">
      <c r="C2483" s="50"/>
      <c r="O2483" s="353"/>
      <c r="AA2483" s="353"/>
    </row>
    <row r="2484" spans="3:27">
      <c r="C2484" s="50"/>
      <c r="O2484" s="353"/>
      <c r="AA2484" s="353"/>
    </row>
    <row r="2485" spans="3:27">
      <c r="C2485" s="50"/>
      <c r="O2485" s="353"/>
      <c r="AA2485" s="353"/>
    </row>
    <row r="2486" spans="3:27">
      <c r="C2486" s="50"/>
      <c r="O2486" s="353"/>
      <c r="AA2486" s="353"/>
    </row>
    <row r="2487" spans="3:27">
      <c r="C2487" s="50"/>
      <c r="O2487" s="353"/>
      <c r="AA2487" s="353"/>
    </row>
    <row r="2488" spans="3:27">
      <c r="C2488" s="50"/>
      <c r="O2488" s="353"/>
      <c r="AA2488" s="353"/>
    </row>
    <row r="2489" spans="3:27">
      <c r="C2489" s="50"/>
      <c r="O2489" s="353"/>
      <c r="AA2489" s="353"/>
    </row>
    <row r="2490" spans="3:27">
      <c r="C2490" s="50"/>
      <c r="O2490" s="353"/>
      <c r="AA2490" s="353"/>
    </row>
    <row r="2491" spans="3:27">
      <c r="C2491" s="50"/>
      <c r="O2491" s="353"/>
      <c r="AA2491" s="353"/>
    </row>
    <row r="2492" spans="3:27">
      <c r="C2492" s="50"/>
      <c r="O2492" s="353"/>
      <c r="AA2492" s="353"/>
    </row>
    <row r="2493" spans="3:27">
      <c r="C2493" s="50"/>
      <c r="O2493" s="353"/>
      <c r="AA2493" s="353"/>
    </row>
    <row r="2494" spans="3:27">
      <c r="C2494" s="50"/>
      <c r="O2494" s="353"/>
      <c r="AA2494" s="353"/>
    </row>
    <row r="2495" spans="3:27">
      <c r="C2495" s="50"/>
      <c r="O2495" s="353"/>
      <c r="AA2495" s="353"/>
    </row>
    <row r="2496" spans="3:27">
      <c r="C2496" s="50"/>
      <c r="O2496" s="353"/>
      <c r="AA2496" s="353"/>
    </row>
    <row r="2497" spans="3:27">
      <c r="C2497" s="50"/>
      <c r="O2497" s="353"/>
      <c r="AA2497" s="353"/>
    </row>
    <row r="2498" spans="3:27">
      <c r="C2498" s="50"/>
      <c r="O2498" s="353"/>
      <c r="AA2498" s="353"/>
    </row>
    <row r="2499" spans="3:27">
      <c r="C2499" s="50"/>
      <c r="O2499" s="353"/>
      <c r="AA2499" s="353"/>
    </row>
    <row r="2500" spans="3:27">
      <c r="C2500" s="50"/>
      <c r="O2500" s="353"/>
      <c r="AA2500" s="353"/>
    </row>
    <row r="2501" spans="3:27">
      <c r="C2501" s="50"/>
      <c r="O2501" s="353"/>
      <c r="AA2501" s="353"/>
    </row>
    <row r="2502" spans="3:27">
      <c r="C2502" s="50"/>
      <c r="O2502" s="353"/>
      <c r="AA2502" s="353"/>
    </row>
    <row r="2503" spans="3:27">
      <c r="C2503" s="50"/>
      <c r="O2503" s="353"/>
      <c r="AA2503" s="353"/>
    </row>
    <row r="2504" spans="3:27">
      <c r="C2504" s="50"/>
      <c r="O2504" s="353"/>
      <c r="AA2504" s="353"/>
    </row>
    <row r="2505" spans="3:27">
      <c r="C2505" s="50"/>
      <c r="O2505" s="353"/>
      <c r="AA2505" s="353"/>
    </row>
    <row r="2506" spans="3:27">
      <c r="C2506" s="50"/>
      <c r="O2506" s="353"/>
      <c r="AA2506" s="353"/>
    </row>
    <row r="2507" spans="3:27">
      <c r="C2507" s="50"/>
      <c r="O2507" s="353"/>
      <c r="AA2507" s="353"/>
    </row>
    <row r="2508" spans="3:27">
      <c r="C2508" s="50"/>
      <c r="O2508" s="353"/>
      <c r="AA2508" s="353"/>
    </row>
    <row r="2509" spans="3:27">
      <c r="C2509" s="50"/>
      <c r="O2509" s="353"/>
      <c r="AA2509" s="353"/>
    </row>
    <row r="2510" spans="3:27">
      <c r="C2510" s="50"/>
      <c r="O2510" s="353"/>
      <c r="AA2510" s="353"/>
    </row>
    <row r="2511" spans="3:27">
      <c r="C2511" s="50"/>
      <c r="O2511" s="353"/>
      <c r="AA2511" s="353"/>
    </row>
    <row r="2512" spans="3:27">
      <c r="C2512" s="50"/>
      <c r="O2512" s="353"/>
      <c r="AA2512" s="353"/>
    </row>
    <row r="2513" spans="3:27">
      <c r="C2513" s="50"/>
      <c r="O2513" s="353"/>
      <c r="AA2513" s="353"/>
    </row>
    <row r="2514" spans="3:27">
      <c r="C2514" s="50"/>
      <c r="O2514" s="353"/>
      <c r="AA2514" s="353"/>
    </row>
    <row r="2515" spans="3:27">
      <c r="C2515" s="50"/>
      <c r="O2515" s="353"/>
      <c r="AA2515" s="353"/>
    </row>
    <row r="2516" spans="3:27">
      <c r="C2516" s="50"/>
      <c r="O2516" s="353"/>
      <c r="AA2516" s="353"/>
    </row>
    <row r="2517" spans="3:27">
      <c r="C2517" s="50"/>
      <c r="O2517" s="353"/>
      <c r="AA2517" s="353"/>
    </row>
    <row r="2518" spans="3:27">
      <c r="C2518" s="50"/>
      <c r="O2518" s="353"/>
      <c r="AA2518" s="353"/>
    </row>
    <row r="2519" spans="3:27">
      <c r="C2519" s="50"/>
      <c r="O2519" s="353"/>
      <c r="AA2519" s="353"/>
    </row>
    <row r="2520" spans="3:27">
      <c r="C2520" s="50"/>
      <c r="O2520" s="353"/>
      <c r="AA2520" s="353"/>
    </row>
    <row r="2521" spans="3:27">
      <c r="C2521" s="50"/>
      <c r="O2521" s="353"/>
      <c r="AA2521" s="353"/>
    </row>
    <row r="2522" spans="3:27">
      <c r="C2522" s="50"/>
      <c r="O2522" s="353"/>
      <c r="AA2522" s="353"/>
    </row>
    <row r="2523" spans="3:27">
      <c r="C2523" s="50"/>
      <c r="O2523" s="353"/>
      <c r="AA2523" s="353"/>
    </row>
    <row r="2524" spans="3:27">
      <c r="C2524" s="50"/>
      <c r="O2524" s="353"/>
      <c r="AA2524" s="353"/>
    </row>
    <row r="2525" spans="3:27">
      <c r="C2525" s="50"/>
      <c r="O2525" s="353"/>
      <c r="AA2525" s="353"/>
    </row>
    <row r="2526" spans="3:27">
      <c r="C2526" s="50"/>
      <c r="O2526" s="353"/>
      <c r="AA2526" s="353"/>
    </row>
    <row r="2527" spans="3:27">
      <c r="C2527" s="50"/>
      <c r="O2527" s="353"/>
      <c r="AA2527" s="353"/>
    </row>
    <row r="2528" spans="3:27">
      <c r="C2528" s="50"/>
      <c r="O2528" s="353"/>
      <c r="AA2528" s="353"/>
    </row>
    <row r="2529" spans="3:27">
      <c r="C2529" s="50"/>
      <c r="O2529" s="353"/>
      <c r="AA2529" s="353"/>
    </row>
    <row r="2530" spans="3:27">
      <c r="C2530" s="50"/>
      <c r="O2530" s="353"/>
      <c r="AA2530" s="353"/>
    </row>
    <row r="2531" spans="3:27">
      <c r="C2531" s="50"/>
      <c r="O2531" s="353"/>
      <c r="AA2531" s="353"/>
    </row>
    <row r="2532" spans="3:27">
      <c r="C2532" s="50"/>
      <c r="O2532" s="353"/>
      <c r="AA2532" s="353"/>
    </row>
    <row r="2533" spans="3:27">
      <c r="C2533" s="50"/>
      <c r="O2533" s="353"/>
      <c r="AA2533" s="353"/>
    </row>
    <row r="2534" spans="3:27">
      <c r="C2534" s="50"/>
      <c r="O2534" s="353"/>
      <c r="AA2534" s="353"/>
    </row>
    <row r="2535" spans="3:27">
      <c r="C2535" s="50"/>
      <c r="O2535" s="353"/>
      <c r="AA2535" s="353"/>
    </row>
    <row r="2536" spans="3:27">
      <c r="C2536" s="50"/>
      <c r="O2536" s="353"/>
      <c r="AA2536" s="353"/>
    </row>
    <row r="2537" spans="3:27">
      <c r="C2537" s="50"/>
      <c r="O2537" s="353"/>
      <c r="AA2537" s="353"/>
    </row>
    <row r="2538" spans="3:27">
      <c r="C2538" s="50"/>
      <c r="O2538" s="353"/>
      <c r="AA2538" s="353"/>
    </row>
    <row r="2539" spans="3:27">
      <c r="C2539" s="50"/>
      <c r="O2539" s="353"/>
      <c r="AA2539" s="353"/>
    </row>
    <row r="2540" spans="3:27">
      <c r="C2540" s="50"/>
      <c r="O2540" s="353"/>
      <c r="AA2540" s="353"/>
    </row>
    <row r="2541" spans="3:27">
      <c r="C2541" s="50"/>
      <c r="O2541" s="353"/>
      <c r="AA2541" s="353"/>
    </row>
    <row r="2542" spans="3:27">
      <c r="C2542" s="50"/>
      <c r="O2542" s="353"/>
      <c r="AA2542" s="353"/>
    </row>
    <row r="2543" spans="3:27">
      <c r="C2543" s="50"/>
      <c r="O2543" s="353"/>
      <c r="AA2543" s="353"/>
    </row>
    <row r="2544" spans="3:27">
      <c r="C2544" s="50"/>
      <c r="O2544" s="353"/>
      <c r="AA2544" s="353"/>
    </row>
    <row r="2545" spans="3:27">
      <c r="C2545" s="50"/>
      <c r="O2545" s="353"/>
      <c r="AA2545" s="353"/>
    </row>
    <row r="2546" spans="3:27">
      <c r="C2546" s="50"/>
      <c r="O2546" s="353"/>
      <c r="AA2546" s="353"/>
    </row>
    <row r="2547" spans="3:27">
      <c r="C2547" s="50"/>
      <c r="O2547" s="353"/>
      <c r="AA2547" s="353"/>
    </row>
    <row r="2548" spans="3:27">
      <c r="C2548" s="50"/>
      <c r="O2548" s="353"/>
      <c r="AA2548" s="353"/>
    </row>
    <row r="2549" spans="3:27">
      <c r="C2549" s="50"/>
      <c r="O2549" s="353"/>
      <c r="AA2549" s="353"/>
    </row>
    <row r="2550" spans="3:27">
      <c r="C2550" s="50"/>
      <c r="O2550" s="353"/>
      <c r="AA2550" s="353"/>
    </row>
    <row r="2551" spans="3:27">
      <c r="C2551" s="50"/>
      <c r="O2551" s="353"/>
      <c r="AA2551" s="353"/>
    </row>
    <row r="2552" spans="3:27">
      <c r="C2552" s="50"/>
      <c r="O2552" s="353"/>
      <c r="AA2552" s="353"/>
    </row>
    <row r="2553" spans="3:27">
      <c r="C2553" s="50"/>
      <c r="O2553" s="353"/>
      <c r="AA2553" s="353"/>
    </row>
    <row r="2554" spans="3:27">
      <c r="C2554" s="50"/>
      <c r="O2554" s="353"/>
      <c r="AA2554" s="353"/>
    </row>
    <row r="2555" spans="3:27">
      <c r="C2555" s="50"/>
      <c r="O2555" s="353"/>
      <c r="AA2555" s="353"/>
    </row>
    <row r="2556" spans="3:27">
      <c r="C2556" s="50"/>
      <c r="O2556" s="353"/>
      <c r="AA2556" s="353"/>
    </row>
    <row r="2557" spans="3:27">
      <c r="C2557" s="50"/>
      <c r="O2557" s="353"/>
      <c r="AA2557" s="353"/>
    </row>
    <row r="2558" spans="3:27">
      <c r="C2558" s="50"/>
      <c r="O2558" s="353"/>
      <c r="AA2558" s="353"/>
    </row>
    <row r="2559" spans="3:27">
      <c r="C2559" s="50"/>
      <c r="O2559" s="353"/>
      <c r="AA2559" s="353"/>
    </row>
    <row r="2560" spans="3:27">
      <c r="C2560" s="50"/>
      <c r="O2560" s="353"/>
      <c r="AA2560" s="353"/>
    </row>
    <row r="2561" spans="3:27">
      <c r="C2561" s="50"/>
      <c r="O2561" s="353"/>
      <c r="AA2561" s="353"/>
    </row>
    <row r="2562" spans="3:27">
      <c r="C2562" s="50"/>
      <c r="O2562" s="353"/>
      <c r="AA2562" s="353"/>
    </row>
    <row r="2563" spans="3:27">
      <c r="C2563" s="50"/>
      <c r="O2563" s="353"/>
      <c r="AA2563" s="353"/>
    </row>
    <row r="2564" spans="3:27">
      <c r="C2564" s="50"/>
      <c r="O2564" s="353"/>
      <c r="AA2564" s="353"/>
    </row>
    <row r="2565" spans="3:27">
      <c r="C2565" s="50"/>
      <c r="O2565" s="353"/>
      <c r="AA2565" s="353"/>
    </row>
    <row r="2566" spans="3:27">
      <c r="C2566" s="50"/>
      <c r="O2566" s="353"/>
      <c r="AA2566" s="353"/>
    </row>
    <row r="2567" spans="3:27">
      <c r="C2567" s="50"/>
      <c r="O2567" s="353"/>
      <c r="AA2567" s="353"/>
    </row>
    <row r="2568" spans="3:27">
      <c r="C2568" s="50"/>
      <c r="O2568" s="353"/>
      <c r="AA2568" s="353"/>
    </row>
    <row r="2569" spans="3:27">
      <c r="C2569" s="50"/>
      <c r="O2569" s="353"/>
      <c r="AA2569" s="353"/>
    </row>
    <row r="2570" spans="3:27">
      <c r="C2570" s="50"/>
      <c r="O2570" s="353"/>
      <c r="AA2570" s="353"/>
    </row>
    <row r="2571" spans="3:27">
      <c r="C2571" s="50"/>
      <c r="O2571" s="353"/>
      <c r="AA2571" s="353"/>
    </row>
    <row r="2572" spans="3:27">
      <c r="C2572" s="50"/>
      <c r="O2572" s="353"/>
      <c r="AA2572" s="353"/>
    </row>
    <row r="2573" spans="3:27">
      <c r="C2573" s="50"/>
      <c r="O2573" s="353"/>
      <c r="AA2573" s="353"/>
    </row>
    <row r="2574" spans="3:27">
      <c r="C2574" s="50"/>
      <c r="O2574" s="353"/>
      <c r="AA2574" s="353"/>
    </row>
    <row r="2575" spans="3:27">
      <c r="C2575" s="50"/>
      <c r="O2575" s="353"/>
      <c r="AA2575" s="353"/>
    </row>
    <row r="2576" spans="3:27">
      <c r="C2576" s="50"/>
      <c r="O2576" s="353"/>
      <c r="AA2576" s="353"/>
    </row>
    <row r="2577" spans="3:27">
      <c r="C2577" s="50"/>
      <c r="O2577" s="353"/>
      <c r="AA2577" s="353"/>
    </row>
    <row r="2578" spans="3:27">
      <c r="C2578" s="50"/>
      <c r="O2578" s="353"/>
      <c r="AA2578" s="353"/>
    </row>
    <row r="2579" spans="3:27">
      <c r="C2579" s="50"/>
      <c r="O2579" s="353"/>
      <c r="AA2579" s="353"/>
    </row>
    <row r="2580" spans="3:27">
      <c r="C2580" s="50"/>
      <c r="O2580" s="353"/>
      <c r="AA2580" s="353"/>
    </row>
    <row r="2581" spans="3:27">
      <c r="C2581" s="50"/>
      <c r="O2581" s="353"/>
      <c r="AA2581" s="353"/>
    </row>
    <row r="2582" spans="3:27">
      <c r="C2582" s="50"/>
      <c r="O2582" s="353"/>
      <c r="AA2582" s="353"/>
    </row>
    <row r="2583" spans="3:27">
      <c r="C2583" s="50"/>
      <c r="O2583" s="353"/>
      <c r="AA2583" s="353"/>
    </row>
    <row r="2584" spans="3:27">
      <c r="C2584" s="50"/>
      <c r="AA2584" s="353"/>
    </row>
    <row r="2585" spans="3:27">
      <c r="C2585" s="50"/>
      <c r="AA2585" s="353"/>
    </row>
    <row r="2586" spans="3:27">
      <c r="C2586" s="50"/>
      <c r="AA2586" s="353"/>
    </row>
    <row r="2587" spans="3:27">
      <c r="C2587" s="50"/>
      <c r="AA2587" s="353"/>
    </row>
    <row r="2588" spans="3:27">
      <c r="C2588" s="50"/>
      <c r="AA2588" s="353"/>
    </row>
    <row r="2589" spans="3:27">
      <c r="C2589" s="50"/>
      <c r="AA2589" s="353"/>
    </row>
    <row r="2590" spans="3:27">
      <c r="C2590" s="50"/>
      <c r="AA2590" s="353"/>
    </row>
    <row r="2591" spans="3:27">
      <c r="C2591" s="50"/>
      <c r="AA2591" s="353"/>
    </row>
    <row r="2592" spans="3:27">
      <c r="C2592" s="50"/>
      <c r="AA2592" s="353"/>
    </row>
    <row r="2593" spans="3:27">
      <c r="C2593" s="50"/>
      <c r="AA2593" s="353"/>
    </row>
    <row r="2594" spans="3:27">
      <c r="C2594" s="50"/>
      <c r="AA2594" s="353"/>
    </row>
    <row r="2595" spans="3:27">
      <c r="C2595" s="50"/>
      <c r="AA2595" s="353"/>
    </row>
    <row r="2596" spans="3:27">
      <c r="C2596" s="50"/>
      <c r="AA2596" s="353"/>
    </row>
    <row r="2597" spans="3:27">
      <c r="C2597" s="50"/>
      <c r="AA2597" s="353"/>
    </row>
    <row r="2598" spans="3:27">
      <c r="C2598" s="50"/>
      <c r="AA2598" s="353"/>
    </row>
    <row r="2599" spans="3:27">
      <c r="C2599" s="50"/>
      <c r="AA2599" s="353"/>
    </row>
    <row r="2600" spans="3:27">
      <c r="C2600" s="50"/>
      <c r="AA2600" s="353"/>
    </row>
    <row r="2601" spans="3:27">
      <c r="C2601" s="50"/>
      <c r="AA2601" s="353"/>
    </row>
    <row r="2602" spans="3:27">
      <c r="C2602" s="50"/>
      <c r="AA2602" s="353"/>
    </row>
    <row r="2603" spans="3:27">
      <c r="C2603" s="50"/>
      <c r="AA2603" s="353"/>
    </row>
    <row r="2604" spans="3:27">
      <c r="C2604" s="50"/>
      <c r="AA2604" s="353"/>
    </row>
    <row r="2605" spans="3:27">
      <c r="C2605" s="50"/>
      <c r="AA2605" s="353"/>
    </row>
    <row r="2606" spans="3:27">
      <c r="C2606" s="50"/>
      <c r="AA2606" s="353"/>
    </row>
    <row r="2607" spans="3:27">
      <c r="C2607" s="50"/>
      <c r="AA2607" s="353"/>
    </row>
    <row r="2608" spans="3:27">
      <c r="C2608" s="50"/>
      <c r="AA2608" s="353"/>
    </row>
    <row r="2609" spans="3:27">
      <c r="C2609" s="50"/>
      <c r="AA2609" s="353"/>
    </row>
    <row r="2610" spans="3:27">
      <c r="C2610" s="50"/>
      <c r="AA2610" s="353"/>
    </row>
    <row r="2611" spans="3:27">
      <c r="C2611" s="50"/>
      <c r="AA2611" s="353"/>
    </row>
    <row r="2612" spans="3:27">
      <c r="C2612" s="50"/>
      <c r="AA2612" s="353"/>
    </row>
    <row r="2613" spans="3:27">
      <c r="C2613" s="50"/>
      <c r="AA2613" s="353"/>
    </row>
    <row r="2614" spans="3:27">
      <c r="C2614" s="50"/>
      <c r="AA2614" s="353"/>
    </row>
    <row r="2615" spans="3:27">
      <c r="C2615" s="50"/>
      <c r="AA2615" s="353"/>
    </row>
    <row r="2616" spans="3:27">
      <c r="C2616" s="50"/>
      <c r="AA2616" s="353"/>
    </row>
    <row r="2617" spans="3:27">
      <c r="C2617" s="50"/>
      <c r="AA2617" s="353"/>
    </row>
    <row r="2618" spans="3:27">
      <c r="C2618" s="50"/>
      <c r="AA2618" s="353"/>
    </row>
    <row r="2619" spans="3:27">
      <c r="C2619" s="50"/>
      <c r="AA2619" s="353"/>
    </row>
    <row r="2620" spans="3:27">
      <c r="C2620" s="50"/>
      <c r="AA2620" s="353"/>
    </row>
    <row r="2621" spans="3:27">
      <c r="C2621" s="50"/>
      <c r="AA2621" s="353"/>
    </row>
    <row r="2622" spans="3:27">
      <c r="C2622" s="50"/>
      <c r="AA2622" s="353"/>
    </row>
    <row r="2623" spans="3:27">
      <c r="C2623" s="50"/>
      <c r="AA2623" s="353"/>
    </row>
    <row r="2624" spans="3:27">
      <c r="C2624" s="50"/>
      <c r="AA2624" s="353"/>
    </row>
    <row r="2625" spans="3:27">
      <c r="C2625" s="50"/>
      <c r="AA2625" s="353"/>
    </row>
    <row r="2626" spans="3:27">
      <c r="C2626" s="50"/>
      <c r="AA2626" s="353"/>
    </row>
    <row r="2627" spans="3:27">
      <c r="C2627" s="50"/>
      <c r="AA2627" s="353"/>
    </row>
    <row r="2628" spans="3:27">
      <c r="C2628" s="50"/>
      <c r="AA2628" s="353"/>
    </row>
    <row r="2629" spans="3:27">
      <c r="C2629" s="50"/>
      <c r="AA2629" s="353"/>
    </row>
    <row r="2630" spans="3:27">
      <c r="C2630" s="50"/>
      <c r="AA2630" s="353"/>
    </row>
    <row r="2631" spans="3:27">
      <c r="C2631" s="50"/>
      <c r="AA2631" s="353"/>
    </row>
    <row r="2632" spans="3:27">
      <c r="C2632" s="50"/>
      <c r="AA2632" s="353"/>
    </row>
    <row r="2633" spans="3:27">
      <c r="C2633" s="50"/>
      <c r="AA2633" s="353"/>
    </row>
    <row r="2634" spans="3:27">
      <c r="C2634" s="50"/>
      <c r="AA2634" s="353"/>
    </row>
    <row r="2635" spans="3:27">
      <c r="C2635" s="50"/>
      <c r="AA2635" s="353"/>
    </row>
    <row r="2636" spans="3:27">
      <c r="C2636" s="50"/>
      <c r="AA2636" s="353"/>
    </row>
    <row r="2637" spans="3:27">
      <c r="C2637" s="50"/>
      <c r="AA2637" s="353"/>
    </row>
    <row r="2638" spans="3:27">
      <c r="C2638" s="50"/>
      <c r="AA2638" s="353"/>
    </row>
    <row r="2639" spans="3:27">
      <c r="C2639" s="50"/>
      <c r="AA2639" s="353"/>
    </row>
    <row r="2640" spans="3:27">
      <c r="C2640" s="50"/>
      <c r="AA2640" s="353"/>
    </row>
    <row r="2641" spans="3:27">
      <c r="C2641" s="50"/>
      <c r="AA2641" s="353"/>
    </row>
    <row r="2642" spans="3:27">
      <c r="C2642" s="50"/>
      <c r="AA2642" s="353"/>
    </row>
    <row r="2643" spans="3:27">
      <c r="C2643" s="50"/>
      <c r="AA2643" s="353"/>
    </row>
    <row r="2644" spans="3:27">
      <c r="C2644" s="50"/>
      <c r="AA2644" s="353"/>
    </row>
    <row r="2645" spans="3:27">
      <c r="C2645" s="50"/>
      <c r="AA2645" s="353"/>
    </row>
    <row r="2646" spans="3:27">
      <c r="C2646" s="50"/>
      <c r="AA2646" s="353"/>
    </row>
    <row r="2647" spans="3:27">
      <c r="C2647" s="50"/>
      <c r="AA2647" s="353"/>
    </row>
    <row r="2648" spans="3:27">
      <c r="C2648" s="50"/>
      <c r="AA2648" s="353"/>
    </row>
    <row r="2649" spans="3:27">
      <c r="C2649" s="50"/>
      <c r="AA2649" s="353"/>
    </row>
    <row r="2650" spans="3:27">
      <c r="C2650" s="50"/>
      <c r="AA2650" s="353"/>
    </row>
    <row r="2651" spans="3:27">
      <c r="C2651" s="50"/>
      <c r="AA2651" s="353"/>
    </row>
    <row r="2652" spans="3:27">
      <c r="C2652" s="50"/>
      <c r="AA2652" s="353"/>
    </row>
    <row r="2653" spans="3:27">
      <c r="C2653" s="50"/>
      <c r="AA2653" s="353"/>
    </row>
    <row r="2654" spans="3:27">
      <c r="C2654" s="50"/>
      <c r="AA2654" s="353"/>
    </row>
    <row r="2655" spans="3:27">
      <c r="C2655" s="50"/>
      <c r="AA2655" s="353"/>
    </row>
    <row r="2656" spans="3:27">
      <c r="C2656" s="50"/>
      <c r="AA2656" s="353"/>
    </row>
    <row r="2657" spans="3:27">
      <c r="C2657" s="50"/>
      <c r="AA2657" s="353"/>
    </row>
    <row r="2658" spans="3:27">
      <c r="C2658" s="50"/>
      <c r="AA2658" s="353"/>
    </row>
    <row r="2659" spans="3:27">
      <c r="C2659" s="50"/>
      <c r="AA2659" s="353"/>
    </row>
    <row r="2660" spans="3:27">
      <c r="C2660" s="50"/>
      <c r="AA2660" s="353"/>
    </row>
    <row r="2661" spans="3:27">
      <c r="C2661" s="50"/>
      <c r="AA2661" s="353"/>
    </row>
    <row r="2662" spans="3:27">
      <c r="C2662" s="50"/>
      <c r="AA2662" s="353"/>
    </row>
    <row r="2663" spans="3:27">
      <c r="C2663" s="50"/>
      <c r="AA2663" s="353"/>
    </row>
    <row r="2664" spans="3:27">
      <c r="C2664" s="50"/>
      <c r="AA2664" s="353"/>
    </row>
    <row r="2665" spans="3:27">
      <c r="C2665" s="50"/>
      <c r="AA2665" s="353"/>
    </row>
    <row r="2666" spans="3:27">
      <c r="C2666" s="50"/>
      <c r="AA2666" s="353"/>
    </row>
    <row r="2667" spans="3:27">
      <c r="C2667" s="50"/>
      <c r="AA2667" s="353"/>
    </row>
    <row r="2668" spans="3:27">
      <c r="C2668" s="50"/>
      <c r="AA2668" s="353"/>
    </row>
    <row r="2669" spans="3:27">
      <c r="C2669" s="50"/>
      <c r="AA2669" s="353"/>
    </row>
    <row r="2670" spans="3:27">
      <c r="C2670" s="50"/>
      <c r="AA2670" s="353"/>
    </row>
    <row r="2671" spans="3:27">
      <c r="C2671" s="50"/>
      <c r="AA2671" s="353"/>
    </row>
    <row r="2672" spans="3:27">
      <c r="C2672" s="50"/>
      <c r="AA2672" s="353"/>
    </row>
    <row r="2673" spans="3:27">
      <c r="C2673" s="50"/>
      <c r="AA2673" s="353"/>
    </row>
    <row r="2674" spans="3:27">
      <c r="C2674" s="50"/>
      <c r="AA2674" s="353"/>
    </row>
    <row r="2675" spans="3:27">
      <c r="C2675" s="50"/>
      <c r="AA2675" s="353"/>
    </row>
    <row r="2676" spans="3:27">
      <c r="C2676" s="50"/>
      <c r="AA2676" s="353"/>
    </row>
    <row r="2677" spans="3:27">
      <c r="C2677" s="50"/>
      <c r="AA2677" s="353"/>
    </row>
    <row r="2678" spans="3:27">
      <c r="C2678" s="50"/>
      <c r="AA2678" s="353"/>
    </row>
    <row r="2679" spans="3:27">
      <c r="C2679" s="50"/>
      <c r="AA2679" s="353"/>
    </row>
    <row r="2680" spans="3:27">
      <c r="C2680" s="50"/>
      <c r="AA2680" s="353"/>
    </row>
    <row r="2681" spans="3:27">
      <c r="C2681" s="50"/>
      <c r="AA2681" s="353"/>
    </row>
    <row r="2682" spans="3:27">
      <c r="C2682" s="50"/>
      <c r="AA2682" s="353"/>
    </row>
    <row r="2683" spans="3:27">
      <c r="C2683" s="50"/>
      <c r="AA2683" s="353"/>
    </row>
    <row r="2684" spans="3:27">
      <c r="C2684" s="50"/>
      <c r="AA2684" s="353"/>
    </row>
    <row r="2685" spans="3:27">
      <c r="C2685" s="50"/>
      <c r="AA2685" s="353"/>
    </row>
    <row r="2686" spans="3:27">
      <c r="C2686" s="50"/>
      <c r="AA2686" s="353"/>
    </row>
    <row r="2687" spans="3:27">
      <c r="C2687" s="50"/>
      <c r="AA2687" s="353"/>
    </row>
    <row r="2688" spans="3:27">
      <c r="C2688" s="50"/>
      <c r="AA2688" s="353"/>
    </row>
    <row r="2689" spans="3:27">
      <c r="C2689" s="50"/>
      <c r="AA2689" s="353"/>
    </row>
    <row r="2690" spans="3:27">
      <c r="C2690" s="50"/>
      <c r="AA2690" s="353"/>
    </row>
    <row r="2691" spans="3:27">
      <c r="C2691" s="50"/>
      <c r="AA2691" s="353"/>
    </row>
    <row r="2692" spans="3:27">
      <c r="C2692" s="50"/>
      <c r="AA2692" s="353"/>
    </row>
    <row r="2693" spans="3:27">
      <c r="C2693" s="50"/>
      <c r="AA2693" s="353"/>
    </row>
    <row r="2694" spans="3:27">
      <c r="C2694" s="50"/>
      <c r="AA2694" s="353"/>
    </row>
    <row r="2695" spans="3:27">
      <c r="C2695" s="50"/>
      <c r="AA2695" s="353"/>
    </row>
    <row r="2696" spans="3:27">
      <c r="C2696" s="50"/>
      <c r="AA2696" s="353"/>
    </row>
    <row r="2697" spans="3:27">
      <c r="C2697" s="50"/>
      <c r="AA2697" s="353"/>
    </row>
    <row r="2698" spans="3:27">
      <c r="C2698" s="50"/>
      <c r="AA2698" s="353"/>
    </row>
    <row r="2699" spans="3:27">
      <c r="C2699" s="50"/>
      <c r="AA2699" s="353"/>
    </row>
    <row r="2700" spans="3:27">
      <c r="C2700" s="50"/>
      <c r="AA2700" s="353"/>
    </row>
    <row r="2701" spans="3:27">
      <c r="C2701" s="50"/>
      <c r="AA2701" s="353"/>
    </row>
    <row r="2702" spans="3:27">
      <c r="C2702" s="50"/>
      <c r="AA2702" s="353"/>
    </row>
    <row r="2703" spans="3:27">
      <c r="C2703" s="50"/>
      <c r="AA2703" s="353"/>
    </row>
    <row r="2704" spans="3:27">
      <c r="C2704" s="50"/>
      <c r="AA2704" s="353"/>
    </row>
    <row r="2705" spans="3:27">
      <c r="C2705" s="50"/>
      <c r="AA2705" s="353"/>
    </row>
    <row r="2706" spans="3:27">
      <c r="C2706" s="50"/>
      <c r="AA2706" s="353"/>
    </row>
    <row r="2707" spans="3:27">
      <c r="C2707" s="50"/>
      <c r="AA2707" s="353"/>
    </row>
    <row r="2708" spans="3:27">
      <c r="C2708" s="50"/>
      <c r="AA2708" s="353"/>
    </row>
    <row r="2709" spans="3:27">
      <c r="C2709" s="50"/>
      <c r="AA2709" s="353"/>
    </row>
    <row r="2710" spans="3:27">
      <c r="C2710" s="50"/>
      <c r="AA2710" s="353"/>
    </row>
    <row r="2711" spans="3:27">
      <c r="C2711" s="50"/>
      <c r="AA2711" s="353"/>
    </row>
    <row r="2712" spans="3:27">
      <c r="C2712" s="50"/>
      <c r="AA2712" s="353"/>
    </row>
    <row r="2713" spans="3:27">
      <c r="C2713" s="50"/>
      <c r="AA2713" s="353"/>
    </row>
    <row r="2714" spans="3:27">
      <c r="C2714" s="50"/>
      <c r="AA2714" s="353"/>
    </row>
    <row r="2715" spans="3:27">
      <c r="C2715" s="50"/>
      <c r="AA2715" s="353"/>
    </row>
    <row r="2716" spans="3:27">
      <c r="C2716" s="50"/>
      <c r="AA2716" s="353"/>
    </row>
    <row r="2717" spans="3:27">
      <c r="C2717" s="50"/>
      <c r="AA2717" s="353"/>
    </row>
    <row r="2718" spans="3:27">
      <c r="C2718" s="50"/>
      <c r="AA2718" s="353"/>
    </row>
    <row r="2719" spans="3:27">
      <c r="C2719" s="50"/>
      <c r="AA2719" s="353"/>
    </row>
    <row r="2720" spans="3:27">
      <c r="C2720" s="50"/>
      <c r="AA2720" s="353"/>
    </row>
    <row r="2721" spans="3:27">
      <c r="C2721" s="50"/>
      <c r="AA2721" s="353"/>
    </row>
    <row r="2722" spans="3:27">
      <c r="C2722" s="50"/>
      <c r="AA2722" s="353"/>
    </row>
    <row r="2723" spans="3:27">
      <c r="C2723" s="50"/>
      <c r="AA2723" s="353"/>
    </row>
    <row r="2724" spans="3:27">
      <c r="C2724" s="50"/>
      <c r="AA2724" s="353"/>
    </row>
    <row r="2725" spans="3:27">
      <c r="C2725" s="50"/>
      <c r="AA2725" s="353"/>
    </row>
    <row r="2726" spans="3:27">
      <c r="C2726" s="50"/>
      <c r="AA2726" s="353"/>
    </row>
    <row r="2727" spans="3:27">
      <c r="C2727" s="50"/>
      <c r="AA2727" s="353"/>
    </row>
    <row r="2728" spans="3:27">
      <c r="C2728" s="50"/>
      <c r="AA2728" s="353"/>
    </row>
    <row r="2729" spans="3:27">
      <c r="C2729" s="50"/>
      <c r="AA2729" s="353"/>
    </row>
    <row r="2730" spans="3:27">
      <c r="C2730" s="50"/>
      <c r="AA2730" s="353"/>
    </row>
    <row r="2731" spans="3:27">
      <c r="C2731" s="50"/>
      <c r="AA2731" s="353"/>
    </row>
    <row r="2732" spans="3:27">
      <c r="C2732" s="50"/>
      <c r="AA2732" s="353"/>
    </row>
    <row r="2733" spans="3:27">
      <c r="C2733" s="50"/>
      <c r="AA2733" s="353"/>
    </row>
    <row r="2734" spans="3:27">
      <c r="C2734" s="50"/>
      <c r="AA2734" s="353"/>
    </row>
    <row r="2735" spans="3:27">
      <c r="C2735" s="50"/>
      <c r="AA2735" s="353"/>
    </row>
    <row r="2736" spans="3:27">
      <c r="C2736" s="50"/>
      <c r="AA2736" s="353"/>
    </row>
    <row r="2737" spans="3:27">
      <c r="C2737" s="50"/>
      <c r="AA2737" s="353"/>
    </row>
    <row r="2738" spans="3:27">
      <c r="C2738" s="50"/>
      <c r="AA2738" s="353"/>
    </row>
    <row r="2739" spans="3:27">
      <c r="C2739" s="50"/>
      <c r="AA2739" s="353"/>
    </row>
    <row r="2740" spans="3:27">
      <c r="C2740" s="50"/>
      <c r="AA2740" s="353"/>
    </row>
    <row r="2741" spans="3:27">
      <c r="C2741" s="50"/>
      <c r="AA2741" s="353"/>
    </row>
    <row r="2742" spans="3:27">
      <c r="C2742" s="50"/>
      <c r="AA2742" s="353"/>
    </row>
    <row r="2743" spans="3:27">
      <c r="C2743" s="50"/>
      <c r="AA2743" s="353"/>
    </row>
    <row r="2744" spans="3:27">
      <c r="C2744" s="50"/>
      <c r="AA2744" s="353"/>
    </row>
    <row r="2745" spans="3:27">
      <c r="C2745" s="50"/>
      <c r="AA2745" s="353"/>
    </row>
    <row r="2746" spans="3:27">
      <c r="C2746" s="50"/>
      <c r="AA2746" s="353"/>
    </row>
    <row r="2747" spans="3:27">
      <c r="C2747" s="50"/>
      <c r="AA2747" s="353"/>
    </row>
    <row r="2748" spans="3:27">
      <c r="C2748" s="50"/>
      <c r="AA2748" s="353"/>
    </row>
    <row r="2749" spans="3:27">
      <c r="C2749" s="50"/>
      <c r="AA2749" s="353"/>
    </row>
    <row r="2750" spans="3:27">
      <c r="C2750" s="50"/>
      <c r="AA2750" s="353"/>
    </row>
    <row r="2751" spans="3:27">
      <c r="C2751" s="50"/>
      <c r="AA2751" s="353"/>
    </row>
    <row r="2752" spans="3:27">
      <c r="C2752" s="50"/>
      <c r="AA2752" s="353"/>
    </row>
    <row r="2753" spans="3:27">
      <c r="C2753" s="50"/>
      <c r="AA2753" s="353"/>
    </row>
    <row r="2754" spans="3:27">
      <c r="C2754" s="50"/>
      <c r="AA2754" s="353"/>
    </row>
    <row r="2755" spans="3:27">
      <c r="C2755" s="50"/>
      <c r="AA2755" s="353"/>
    </row>
    <row r="2756" spans="3:27">
      <c r="C2756" s="50"/>
      <c r="AA2756" s="353"/>
    </row>
    <row r="2757" spans="3:27">
      <c r="C2757" s="50"/>
      <c r="AA2757" s="353"/>
    </row>
    <row r="2758" spans="3:27">
      <c r="C2758" s="50"/>
      <c r="AA2758" s="353"/>
    </row>
    <row r="2759" spans="3:27">
      <c r="C2759" s="50"/>
      <c r="AA2759" s="353"/>
    </row>
    <row r="2760" spans="3:27">
      <c r="C2760" s="50"/>
      <c r="AA2760" s="353"/>
    </row>
    <row r="2761" spans="3:27">
      <c r="C2761" s="50"/>
      <c r="AA2761" s="353"/>
    </row>
    <row r="2762" spans="3:27">
      <c r="C2762" s="50"/>
      <c r="AA2762" s="353"/>
    </row>
    <row r="2763" spans="3:27">
      <c r="C2763" s="50"/>
      <c r="AA2763" s="353"/>
    </row>
    <row r="2764" spans="3:27">
      <c r="C2764" s="50"/>
      <c r="AA2764" s="353"/>
    </row>
    <row r="2765" spans="3:27">
      <c r="C2765" s="50"/>
      <c r="AA2765" s="353"/>
    </row>
    <row r="2766" spans="3:27">
      <c r="C2766" s="50"/>
      <c r="AA2766" s="353"/>
    </row>
    <row r="2767" spans="3:27">
      <c r="C2767" s="50"/>
      <c r="AA2767" s="353"/>
    </row>
    <row r="2768" spans="3:27">
      <c r="C2768" s="50"/>
      <c r="AA2768" s="353"/>
    </row>
    <row r="2769" spans="3:27">
      <c r="C2769" s="50"/>
      <c r="AA2769" s="353"/>
    </row>
    <row r="2770" spans="3:27">
      <c r="C2770" s="50"/>
      <c r="AA2770" s="353"/>
    </row>
    <row r="2771" spans="3:27">
      <c r="C2771" s="50"/>
      <c r="AA2771" s="353"/>
    </row>
    <row r="2772" spans="3:27">
      <c r="C2772" s="50"/>
      <c r="AA2772" s="353"/>
    </row>
    <row r="2773" spans="3:27">
      <c r="C2773" s="50"/>
      <c r="AA2773" s="353"/>
    </row>
    <row r="2774" spans="3:27">
      <c r="C2774" s="50"/>
      <c r="AA2774" s="353"/>
    </row>
    <row r="2775" spans="3:27">
      <c r="C2775" s="50"/>
      <c r="AA2775" s="353"/>
    </row>
    <row r="2776" spans="3:27">
      <c r="C2776" s="50"/>
      <c r="AA2776" s="353"/>
    </row>
    <row r="2777" spans="3:27">
      <c r="C2777" s="50"/>
      <c r="AA2777" s="353"/>
    </row>
    <row r="2778" spans="3:27">
      <c r="C2778" s="50"/>
      <c r="AA2778" s="353"/>
    </row>
    <row r="2779" spans="3:27">
      <c r="C2779" s="50"/>
      <c r="AA2779" s="353"/>
    </row>
    <row r="2780" spans="3:27">
      <c r="C2780" s="50"/>
      <c r="AA2780" s="353"/>
    </row>
    <row r="2781" spans="3:27">
      <c r="C2781" s="50"/>
      <c r="AA2781" s="353"/>
    </row>
    <row r="2782" spans="3:27">
      <c r="C2782" s="50"/>
      <c r="AA2782" s="353"/>
    </row>
    <row r="2783" spans="3:27">
      <c r="C2783" s="50"/>
      <c r="AA2783" s="353"/>
    </row>
    <row r="2784" spans="3:27">
      <c r="C2784" s="50"/>
      <c r="AA2784" s="353"/>
    </row>
    <row r="2785" spans="3:27">
      <c r="C2785" s="50"/>
      <c r="AA2785" s="353"/>
    </row>
    <row r="2786" spans="3:27">
      <c r="C2786" s="50"/>
      <c r="AA2786" s="353"/>
    </row>
    <row r="2787" spans="3:27">
      <c r="C2787" s="50"/>
      <c r="AA2787" s="353"/>
    </row>
    <row r="2788" spans="3:27">
      <c r="C2788" s="50"/>
      <c r="AA2788" s="353"/>
    </row>
    <row r="2789" spans="3:27">
      <c r="C2789" s="50"/>
      <c r="AA2789" s="353"/>
    </row>
    <row r="2790" spans="3:27">
      <c r="C2790" s="50"/>
      <c r="AA2790" s="353"/>
    </row>
    <row r="2791" spans="3:27">
      <c r="C2791" s="50"/>
      <c r="AA2791" s="353"/>
    </row>
    <row r="2792" spans="3:27">
      <c r="C2792" s="50"/>
      <c r="AA2792" s="353"/>
    </row>
    <row r="2793" spans="3:27">
      <c r="C2793" s="50"/>
      <c r="AA2793" s="353"/>
    </row>
    <row r="2794" spans="3:27">
      <c r="C2794" s="50"/>
      <c r="AA2794" s="353"/>
    </row>
    <row r="2795" spans="3:27">
      <c r="C2795" s="50"/>
      <c r="AA2795" s="353"/>
    </row>
    <row r="2796" spans="3:27">
      <c r="C2796" s="50"/>
      <c r="AA2796" s="353"/>
    </row>
    <row r="2797" spans="3:27">
      <c r="C2797" s="50"/>
      <c r="AA2797" s="353"/>
    </row>
    <row r="2798" spans="3:27">
      <c r="C2798" s="50"/>
      <c r="AA2798" s="353"/>
    </row>
    <row r="2799" spans="3:27">
      <c r="C2799" s="50"/>
      <c r="AA2799" s="353"/>
    </row>
    <row r="2800" spans="3:27">
      <c r="C2800" s="50"/>
      <c r="AA2800" s="353"/>
    </row>
    <row r="2801" spans="3:27">
      <c r="C2801" s="50"/>
      <c r="AA2801" s="353"/>
    </row>
    <row r="2802" spans="3:27">
      <c r="C2802" s="50"/>
      <c r="AA2802" s="353"/>
    </row>
    <row r="2803" spans="3:27">
      <c r="C2803" s="50"/>
      <c r="AA2803" s="353"/>
    </row>
    <row r="2804" spans="3:27">
      <c r="C2804" s="50"/>
      <c r="AA2804" s="353"/>
    </row>
    <row r="2805" spans="3:27">
      <c r="C2805" s="50"/>
      <c r="AA2805" s="353"/>
    </row>
    <row r="2806" spans="3:27">
      <c r="C2806" s="50"/>
      <c r="AA2806" s="353"/>
    </row>
    <row r="2807" spans="3:27">
      <c r="C2807" s="50"/>
      <c r="AA2807" s="353"/>
    </row>
    <row r="2808" spans="3:27">
      <c r="C2808" s="50"/>
      <c r="AA2808" s="353"/>
    </row>
    <row r="2809" spans="3:27">
      <c r="C2809" s="50"/>
      <c r="AA2809" s="353"/>
    </row>
    <row r="2810" spans="3:27">
      <c r="C2810" s="50"/>
      <c r="AA2810" s="353"/>
    </row>
    <row r="2811" spans="3:27">
      <c r="C2811" s="50"/>
      <c r="AA2811" s="353"/>
    </row>
    <row r="2812" spans="3:27">
      <c r="C2812" s="50"/>
      <c r="AA2812" s="353"/>
    </row>
    <row r="2813" spans="3:27">
      <c r="C2813" s="50"/>
      <c r="AA2813" s="353"/>
    </row>
    <row r="2814" spans="3:27">
      <c r="C2814" s="50"/>
      <c r="AA2814" s="353"/>
    </row>
    <row r="2815" spans="3:27">
      <c r="C2815" s="50"/>
      <c r="AA2815" s="353"/>
    </row>
    <row r="2816" spans="3:27">
      <c r="C2816" s="50"/>
      <c r="AA2816" s="353"/>
    </row>
    <row r="2817" spans="3:27">
      <c r="C2817" s="50"/>
      <c r="AA2817" s="353"/>
    </row>
    <row r="2818" spans="3:27">
      <c r="C2818" s="50"/>
      <c r="AA2818" s="353"/>
    </row>
    <row r="2819" spans="3:27">
      <c r="C2819" s="50"/>
      <c r="AA2819" s="353"/>
    </row>
    <row r="2820" spans="3:27">
      <c r="C2820" s="50"/>
      <c r="AA2820" s="353"/>
    </row>
    <row r="2821" spans="3:27">
      <c r="C2821" s="50"/>
      <c r="AA2821" s="353"/>
    </row>
    <row r="2822" spans="3:27">
      <c r="C2822" s="50"/>
      <c r="AA2822" s="353"/>
    </row>
    <row r="2823" spans="3:27">
      <c r="C2823" s="50"/>
      <c r="AA2823" s="353"/>
    </row>
    <row r="2824" spans="3:27">
      <c r="C2824" s="50"/>
      <c r="AA2824" s="353"/>
    </row>
    <row r="2825" spans="3:27">
      <c r="C2825" s="50"/>
      <c r="AA2825" s="353"/>
    </row>
    <row r="2826" spans="3:27">
      <c r="C2826" s="50"/>
      <c r="AA2826" s="353"/>
    </row>
    <row r="2827" spans="3:27">
      <c r="C2827" s="50"/>
      <c r="AA2827" s="353"/>
    </row>
    <row r="2828" spans="3:27">
      <c r="C2828" s="50"/>
      <c r="AA2828" s="353"/>
    </row>
    <row r="2829" spans="3:27">
      <c r="C2829" s="50"/>
      <c r="AA2829" s="353"/>
    </row>
    <row r="2830" spans="3:27">
      <c r="C2830" s="50"/>
      <c r="AA2830" s="353"/>
    </row>
    <row r="2831" spans="3:27">
      <c r="C2831" s="50"/>
      <c r="AA2831" s="353"/>
    </row>
    <row r="2832" spans="3:27">
      <c r="C2832" s="50"/>
      <c r="AA2832" s="353"/>
    </row>
    <row r="2833" spans="3:27">
      <c r="C2833" s="50"/>
      <c r="AA2833" s="353"/>
    </row>
    <row r="2834" spans="3:27">
      <c r="C2834" s="50"/>
      <c r="AA2834" s="353"/>
    </row>
    <row r="2835" spans="3:27">
      <c r="C2835" s="50"/>
      <c r="AA2835" s="353"/>
    </row>
    <row r="2836" spans="3:27">
      <c r="C2836" s="50"/>
      <c r="AA2836" s="353"/>
    </row>
    <row r="2837" spans="3:27">
      <c r="C2837" s="50"/>
      <c r="AA2837" s="353"/>
    </row>
    <row r="2838" spans="3:27">
      <c r="C2838" s="50"/>
      <c r="AA2838" s="353"/>
    </row>
    <row r="2839" spans="3:27">
      <c r="C2839" s="50"/>
      <c r="AA2839" s="353"/>
    </row>
    <row r="2840" spans="3:27">
      <c r="C2840" s="50"/>
      <c r="AA2840" s="353"/>
    </row>
    <row r="2841" spans="3:27">
      <c r="C2841" s="50"/>
      <c r="AA2841" s="353"/>
    </row>
    <row r="2842" spans="3:27">
      <c r="C2842" s="50"/>
      <c r="AA2842" s="353"/>
    </row>
    <row r="2843" spans="3:27">
      <c r="C2843" s="50"/>
      <c r="AA2843" s="353"/>
    </row>
    <row r="2844" spans="3:27">
      <c r="C2844" s="50"/>
      <c r="AA2844" s="353"/>
    </row>
    <row r="2845" spans="3:27">
      <c r="C2845" s="50"/>
      <c r="AA2845" s="353"/>
    </row>
    <row r="2846" spans="3:27">
      <c r="C2846" s="50"/>
      <c r="AA2846" s="353"/>
    </row>
    <row r="2847" spans="3:27">
      <c r="C2847" s="50"/>
      <c r="AA2847" s="353"/>
    </row>
    <row r="2848" spans="3:27">
      <c r="C2848" s="50"/>
      <c r="AA2848" s="353"/>
    </row>
    <row r="2849" spans="3:27">
      <c r="C2849" s="50"/>
      <c r="AA2849" s="353"/>
    </row>
    <row r="2850" spans="3:27">
      <c r="C2850" s="50"/>
      <c r="AA2850" s="353"/>
    </row>
    <row r="2851" spans="3:27">
      <c r="C2851" s="50"/>
      <c r="AA2851" s="353"/>
    </row>
    <row r="2852" spans="3:27">
      <c r="C2852" s="50"/>
      <c r="AA2852" s="353"/>
    </row>
    <row r="2853" spans="3:27">
      <c r="C2853" s="50"/>
      <c r="AA2853" s="353"/>
    </row>
    <row r="2854" spans="3:27">
      <c r="C2854" s="50"/>
      <c r="AA2854" s="353"/>
    </row>
    <row r="2855" spans="3:27">
      <c r="C2855" s="50"/>
      <c r="AA2855" s="353"/>
    </row>
    <row r="2856" spans="3:27">
      <c r="C2856" s="50"/>
      <c r="AA2856" s="353"/>
    </row>
    <row r="2857" spans="3:27">
      <c r="C2857" s="50"/>
      <c r="AA2857" s="353"/>
    </row>
    <row r="2858" spans="3:27">
      <c r="C2858" s="50"/>
      <c r="AA2858" s="353"/>
    </row>
    <row r="2859" spans="3:27">
      <c r="C2859" s="50"/>
      <c r="AA2859" s="353"/>
    </row>
    <row r="2860" spans="3:27">
      <c r="C2860" s="50"/>
      <c r="AA2860" s="353"/>
    </row>
    <row r="2861" spans="3:27">
      <c r="C2861" s="50"/>
      <c r="AA2861" s="353"/>
    </row>
    <row r="2862" spans="3:27">
      <c r="C2862" s="50"/>
      <c r="AA2862" s="353"/>
    </row>
    <row r="2863" spans="3:27">
      <c r="C2863" s="50"/>
      <c r="AA2863" s="353"/>
    </row>
    <row r="2864" spans="3:27">
      <c r="C2864" s="50"/>
      <c r="AA2864" s="353"/>
    </row>
    <row r="2865" spans="3:27">
      <c r="C2865" s="50"/>
      <c r="AA2865" s="353"/>
    </row>
    <row r="2866" spans="3:27">
      <c r="C2866" s="50"/>
      <c r="AA2866" s="353"/>
    </row>
    <row r="2867" spans="3:27">
      <c r="C2867" s="50"/>
      <c r="AA2867" s="353"/>
    </row>
    <row r="2868" spans="3:27">
      <c r="C2868" s="50"/>
      <c r="AA2868" s="353"/>
    </row>
    <row r="2869" spans="3:27">
      <c r="C2869" s="50"/>
      <c r="AA2869" s="353"/>
    </row>
    <row r="2870" spans="3:27">
      <c r="C2870" s="50"/>
      <c r="AA2870" s="353"/>
    </row>
    <row r="2871" spans="3:27">
      <c r="C2871" s="50"/>
      <c r="AA2871" s="353"/>
    </row>
    <row r="2872" spans="3:27">
      <c r="C2872" s="50"/>
      <c r="AA2872" s="353"/>
    </row>
    <row r="2873" spans="3:27">
      <c r="C2873" s="50"/>
      <c r="AA2873" s="353"/>
    </row>
    <row r="2874" spans="3:27">
      <c r="C2874" s="50"/>
      <c r="AA2874" s="353"/>
    </row>
    <row r="2875" spans="3:27">
      <c r="C2875" s="50"/>
      <c r="AA2875" s="353"/>
    </row>
    <row r="2876" spans="3:27">
      <c r="C2876" s="50"/>
      <c r="AA2876" s="353"/>
    </row>
    <row r="2877" spans="3:27">
      <c r="C2877" s="50"/>
      <c r="AA2877" s="353"/>
    </row>
    <row r="2878" spans="3:27">
      <c r="C2878" s="50"/>
      <c r="AA2878" s="353"/>
    </row>
    <row r="2879" spans="3:27">
      <c r="C2879" s="50"/>
      <c r="AA2879" s="353"/>
    </row>
    <row r="2880" spans="3:27">
      <c r="C2880" s="50"/>
      <c r="AA2880" s="353"/>
    </row>
    <row r="2881" spans="3:27">
      <c r="C2881" s="50"/>
      <c r="AA2881" s="353"/>
    </row>
    <row r="2882" spans="3:27">
      <c r="C2882" s="50"/>
      <c r="AA2882" s="353"/>
    </row>
    <row r="2883" spans="3:27">
      <c r="C2883" s="50"/>
      <c r="AA2883" s="353"/>
    </row>
    <row r="2884" spans="3:27">
      <c r="C2884" s="50"/>
      <c r="AA2884" s="353"/>
    </row>
    <row r="2885" spans="3:27">
      <c r="C2885" s="50"/>
      <c r="AA2885" s="353"/>
    </row>
    <row r="2886" spans="3:27">
      <c r="C2886" s="50"/>
      <c r="AA2886" s="353"/>
    </row>
    <row r="2887" spans="3:27">
      <c r="C2887" s="50"/>
      <c r="AA2887" s="353"/>
    </row>
    <row r="2888" spans="3:27">
      <c r="C2888" s="50"/>
      <c r="AA2888" s="353"/>
    </row>
    <row r="2889" spans="3:27">
      <c r="C2889" s="50"/>
      <c r="AA2889" s="353"/>
    </row>
    <row r="2890" spans="3:27">
      <c r="C2890" s="50"/>
      <c r="AA2890" s="353"/>
    </row>
    <row r="2891" spans="3:27">
      <c r="C2891" s="50"/>
      <c r="AA2891" s="353"/>
    </row>
    <row r="2892" spans="3:27">
      <c r="C2892" s="50"/>
      <c r="AA2892" s="353"/>
    </row>
    <row r="2893" spans="3:27">
      <c r="C2893" s="50"/>
      <c r="AA2893" s="353"/>
    </row>
    <row r="2894" spans="3:27">
      <c r="C2894" s="50"/>
      <c r="AA2894" s="353"/>
    </row>
    <row r="2895" spans="3:27">
      <c r="C2895" s="50"/>
      <c r="AA2895" s="353"/>
    </row>
    <row r="2896" spans="3:27">
      <c r="C2896" s="50"/>
      <c r="AA2896" s="353"/>
    </row>
    <row r="2897" spans="3:27">
      <c r="C2897" s="50"/>
      <c r="AA2897" s="353"/>
    </row>
    <row r="2898" spans="3:27">
      <c r="C2898" s="50"/>
      <c r="AA2898" s="353"/>
    </row>
    <row r="2899" spans="3:27">
      <c r="C2899" s="50"/>
      <c r="AA2899" s="353"/>
    </row>
    <row r="2900" spans="3:27">
      <c r="C2900" s="50"/>
      <c r="AA2900" s="353"/>
    </row>
    <row r="2901" spans="3:27">
      <c r="C2901" s="50"/>
      <c r="AA2901" s="353"/>
    </row>
    <row r="2902" spans="3:27">
      <c r="C2902" s="50"/>
      <c r="AA2902" s="353"/>
    </row>
    <row r="2903" spans="3:27">
      <c r="C2903" s="50"/>
      <c r="AA2903" s="353"/>
    </row>
    <row r="2904" spans="3:27">
      <c r="C2904" s="50"/>
      <c r="AA2904" s="353"/>
    </row>
    <row r="2905" spans="3:27">
      <c r="C2905" s="50"/>
      <c r="AA2905" s="353"/>
    </row>
    <row r="2906" spans="3:27">
      <c r="C2906" s="50"/>
      <c r="AA2906" s="353"/>
    </row>
    <row r="2907" spans="3:27">
      <c r="C2907" s="50"/>
      <c r="AA2907" s="353"/>
    </row>
    <row r="2908" spans="3:27">
      <c r="C2908" s="50"/>
      <c r="AA2908" s="353"/>
    </row>
    <row r="2909" spans="3:27">
      <c r="C2909" s="50"/>
      <c r="AA2909" s="353"/>
    </row>
    <row r="2910" spans="3:27">
      <c r="C2910" s="50"/>
      <c r="AA2910" s="353"/>
    </row>
    <row r="2911" spans="3:27">
      <c r="C2911" s="50"/>
      <c r="AA2911" s="353"/>
    </row>
    <row r="2912" spans="3:27">
      <c r="C2912" s="50"/>
      <c r="AA2912" s="353"/>
    </row>
    <row r="2913" spans="3:27">
      <c r="C2913" s="50"/>
      <c r="AA2913" s="353"/>
    </row>
    <row r="2914" spans="3:27">
      <c r="C2914" s="50"/>
      <c r="AA2914" s="353"/>
    </row>
    <row r="2915" spans="3:27">
      <c r="C2915" s="50"/>
      <c r="AA2915" s="353"/>
    </row>
    <row r="2916" spans="3:27">
      <c r="C2916" s="50"/>
      <c r="AA2916" s="353"/>
    </row>
    <row r="2917" spans="3:27">
      <c r="C2917" s="50"/>
      <c r="AA2917" s="353"/>
    </row>
    <row r="2918" spans="3:27">
      <c r="C2918" s="50"/>
      <c r="AA2918" s="353"/>
    </row>
    <row r="2919" spans="3:27">
      <c r="C2919" s="50"/>
      <c r="AA2919" s="353"/>
    </row>
    <row r="2920" spans="3:27">
      <c r="C2920" s="50"/>
      <c r="AA2920" s="353"/>
    </row>
    <row r="2921" spans="3:27">
      <c r="C2921" s="50"/>
      <c r="AA2921" s="353"/>
    </row>
    <row r="2922" spans="3:27">
      <c r="C2922" s="50"/>
      <c r="AA2922" s="353"/>
    </row>
    <row r="2923" spans="3:27">
      <c r="C2923" s="50"/>
      <c r="AA2923" s="353"/>
    </row>
    <row r="2924" spans="3:27">
      <c r="C2924" s="50"/>
      <c r="AA2924" s="353"/>
    </row>
    <row r="2925" spans="3:27">
      <c r="C2925" s="50"/>
      <c r="AA2925" s="353"/>
    </row>
    <row r="2926" spans="3:27">
      <c r="C2926" s="50"/>
      <c r="AA2926" s="353"/>
    </row>
    <row r="2927" spans="3:27">
      <c r="C2927" s="50"/>
      <c r="AA2927" s="353"/>
    </row>
    <row r="2928" spans="3:27">
      <c r="C2928" s="50"/>
      <c r="AA2928" s="353"/>
    </row>
    <row r="2929" spans="3:27">
      <c r="C2929" s="50"/>
      <c r="AA2929" s="353"/>
    </row>
    <row r="2930" spans="3:27">
      <c r="C2930" s="50"/>
      <c r="AA2930" s="353"/>
    </row>
    <row r="2931" spans="3:27">
      <c r="C2931" s="50"/>
      <c r="AA2931" s="353"/>
    </row>
    <row r="2932" spans="3:27">
      <c r="C2932" s="50"/>
      <c r="AA2932" s="353"/>
    </row>
    <row r="2933" spans="3:27">
      <c r="C2933" s="50"/>
      <c r="AA2933" s="353"/>
    </row>
    <row r="2934" spans="3:27">
      <c r="C2934" s="50"/>
      <c r="AA2934" s="353"/>
    </row>
    <row r="2935" spans="3:27">
      <c r="C2935" s="50"/>
      <c r="AA2935" s="353"/>
    </row>
    <row r="2936" spans="3:27">
      <c r="C2936" s="50"/>
      <c r="AA2936" s="353"/>
    </row>
    <row r="2937" spans="3:27">
      <c r="C2937" s="50"/>
      <c r="AA2937" s="353"/>
    </row>
    <row r="2938" spans="3:27">
      <c r="C2938" s="50"/>
      <c r="AA2938" s="353"/>
    </row>
    <row r="2939" spans="3:27">
      <c r="C2939" s="50"/>
      <c r="AA2939" s="353"/>
    </row>
    <row r="2940" spans="3:27">
      <c r="C2940" s="50"/>
      <c r="AA2940" s="353"/>
    </row>
    <row r="2941" spans="3:27">
      <c r="C2941" s="50"/>
      <c r="AA2941" s="353"/>
    </row>
    <row r="2942" spans="3:27">
      <c r="C2942" s="50"/>
      <c r="AA2942" s="353"/>
    </row>
    <row r="2943" spans="3:27">
      <c r="C2943" s="50"/>
      <c r="AA2943" s="353"/>
    </row>
    <row r="2944" spans="3:27">
      <c r="C2944" s="50"/>
      <c r="AA2944" s="353"/>
    </row>
    <row r="2945" spans="3:27">
      <c r="C2945" s="50"/>
      <c r="AA2945" s="353"/>
    </row>
    <row r="2946" spans="3:27">
      <c r="C2946" s="50"/>
      <c r="AA2946" s="353"/>
    </row>
    <row r="2947" spans="3:27">
      <c r="C2947" s="50"/>
      <c r="AA2947" s="353"/>
    </row>
    <row r="2948" spans="3:27">
      <c r="C2948" s="50"/>
      <c r="AA2948" s="353"/>
    </row>
    <row r="2949" spans="3:27">
      <c r="C2949" s="50"/>
      <c r="AA2949" s="353"/>
    </row>
    <row r="2950" spans="3:27">
      <c r="C2950" s="50"/>
      <c r="AA2950" s="353"/>
    </row>
    <row r="2951" spans="3:27">
      <c r="C2951" s="50"/>
      <c r="AA2951" s="353"/>
    </row>
    <row r="2952" spans="3:27">
      <c r="C2952" s="50"/>
      <c r="AA2952" s="353"/>
    </row>
    <row r="2953" spans="3:27">
      <c r="C2953" s="50"/>
      <c r="AA2953" s="353"/>
    </row>
    <row r="2954" spans="3:27">
      <c r="C2954" s="50"/>
      <c r="AA2954" s="353"/>
    </row>
    <row r="2955" spans="3:27">
      <c r="C2955" s="50"/>
      <c r="AA2955" s="353"/>
    </row>
    <row r="2956" spans="3:27">
      <c r="C2956" s="50"/>
      <c r="AA2956" s="353"/>
    </row>
    <row r="2957" spans="3:27">
      <c r="C2957" s="50"/>
      <c r="AA2957" s="353"/>
    </row>
    <row r="2958" spans="3:27">
      <c r="C2958" s="50"/>
      <c r="AA2958" s="353"/>
    </row>
    <row r="2959" spans="3:27">
      <c r="C2959" s="50"/>
      <c r="AA2959" s="353"/>
    </row>
    <row r="2960" spans="3:27">
      <c r="C2960" s="50"/>
      <c r="AA2960" s="353"/>
    </row>
    <row r="2961" spans="3:27">
      <c r="C2961" s="50"/>
      <c r="AA2961" s="353"/>
    </row>
    <row r="2962" spans="3:27">
      <c r="C2962" s="50"/>
      <c r="AA2962" s="353"/>
    </row>
    <row r="2963" spans="3:27">
      <c r="C2963" s="50"/>
      <c r="AA2963" s="353"/>
    </row>
    <row r="2964" spans="3:27">
      <c r="C2964" s="50"/>
      <c r="AA2964" s="353"/>
    </row>
    <row r="2965" spans="3:27">
      <c r="C2965" s="50"/>
      <c r="AA2965" s="353"/>
    </row>
    <row r="2966" spans="3:27">
      <c r="C2966" s="50"/>
      <c r="AA2966" s="353"/>
    </row>
    <row r="2967" spans="3:27">
      <c r="C2967" s="50"/>
      <c r="AA2967" s="353"/>
    </row>
    <row r="2968" spans="3:27">
      <c r="C2968" s="50"/>
      <c r="AA2968" s="353"/>
    </row>
    <row r="2969" spans="3:27">
      <c r="C2969" s="50"/>
      <c r="AA2969" s="353"/>
    </row>
    <row r="2970" spans="3:27">
      <c r="C2970" s="50"/>
      <c r="AA2970" s="353"/>
    </row>
    <row r="2971" spans="3:27">
      <c r="C2971" s="50"/>
      <c r="AA2971" s="353"/>
    </row>
    <row r="2972" spans="3:27">
      <c r="C2972" s="50"/>
      <c r="AA2972" s="353"/>
    </row>
    <row r="2973" spans="3:27">
      <c r="C2973" s="50"/>
      <c r="AA2973" s="353"/>
    </row>
    <row r="2974" spans="3:27">
      <c r="C2974" s="50"/>
      <c r="AA2974" s="353"/>
    </row>
    <row r="2975" spans="3:27">
      <c r="C2975" s="50"/>
      <c r="AA2975" s="353"/>
    </row>
    <row r="2976" spans="3:27">
      <c r="C2976" s="50"/>
      <c r="AA2976" s="353"/>
    </row>
    <row r="2977" spans="3:27">
      <c r="C2977" s="50"/>
      <c r="AA2977" s="353"/>
    </row>
    <row r="2978" spans="3:27">
      <c r="C2978" s="50"/>
      <c r="AA2978" s="353"/>
    </row>
    <row r="2979" spans="3:27">
      <c r="C2979" s="50"/>
      <c r="AA2979" s="353"/>
    </row>
    <row r="2980" spans="3:27">
      <c r="C2980" s="50"/>
      <c r="AA2980" s="353"/>
    </row>
    <row r="2981" spans="3:27">
      <c r="C2981" s="50"/>
      <c r="AA2981" s="353"/>
    </row>
    <row r="2982" spans="3:27">
      <c r="C2982" s="50"/>
      <c r="AA2982" s="353"/>
    </row>
    <row r="2983" spans="3:27">
      <c r="C2983" s="50"/>
      <c r="AA2983" s="353"/>
    </row>
    <row r="2984" spans="3:27">
      <c r="C2984" s="50"/>
      <c r="AA2984" s="353"/>
    </row>
    <row r="2985" spans="3:27">
      <c r="C2985" s="50"/>
      <c r="AA2985" s="353"/>
    </row>
    <row r="2986" spans="3:27">
      <c r="C2986" s="50"/>
      <c r="AA2986" s="353"/>
    </row>
    <row r="2987" spans="3:27">
      <c r="C2987" s="50"/>
      <c r="AA2987" s="353"/>
    </row>
    <row r="2988" spans="3:27">
      <c r="C2988" s="50"/>
      <c r="AA2988" s="353"/>
    </row>
    <row r="2989" spans="3:27">
      <c r="C2989" s="50"/>
      <c r="AA2989" s="353"/>
    </row>
    <row r="2990" spans="3:27">
      <c r="C2990" s="50"/>
      <c r="AA2990" s="353"/>
    </row>
    <row r="2991" spans="3:27">
      <c r="C2991" s="50"/>
      <c r="AA2991" s="353"/>
    </row>
    <row r="2992" spans="3:27">
      <c r="C2992" s="50"/>
      <c r="AA2992" s="353"/>
    </row>
    <row r="2993" spans="3:27">
      <c r="C2993" s="50"/>
      <c r="AA2993" s="353"/>
    </row>
    <row r="2994" spans="3:27">
      <c r="C2994" s="50"/>
      <c r="AA2994" s="353"/>
    </row>
    <row r="2995" spans="3:27">
      <c r="C2995" s="50"/>
      <c r="AA2995" s="353"/>
    </row>
    <row r="2996" spans="3:27">
      <c r="C2996" s="50"/>
      <c r="AA2996" s="353"/>
    </row>
    <row r="2997" spans="3:27">
      <c r="C2997" s="50"/>
      <c r="AA2997" s="353"/>
    </row>
    <row r="2998" spans="3:27">
      <c r="C2998" s="50"/>
      <c r="AA2998" s="353"/>
    </row>
    <row r="2999" spans="3:27">
      <c r="C2999" s="50"/>
      <c r="AA2999" s="353"/>
    </row>
    <row r="3000" spans="3:27">
      <c r="C3000" s="50"/>
      <c r="AA3000" s="353"/>
    </row>
    <row r="3001" spans="3:27">
      <c r="C3001" s="50"/>
      <c r="AA3001" s="353"/>
    </row>
    <row r="3002" spans="3:27">
      <c r="C3002" s="50"/>
      <c r="AA3002" s="353"/>
    </row>
    <row r="3003" spans="3:27">
      <c r="C3003" s="50"/>
      <c r="AA3003" s="353"/>
    </row>
    <row r="3004" spans="3:27">
      <c r="C3004" s="50"/>
      <c r="AA3004" s="353"/>
    </row>
    <row r="3005" spans="3:27">
      <c r="C3005" s="50"/>
      <c r="AA3005" s="353"/>
    </row>
    <row r="3006" spans="3:27">
      <c r="C3006" s="50"/>
      <c r="AA3006" s="353"/>
    </row>
    <row r="3007" spans="3:27">
      <c r="C3007" s="50"/>
      <c r="AA3007" s="353"/>
    </row>
    <row r="3008" spans="3:27">
      <c r="C3008" s="50"/>
      <c r="AA3008" s="353"/>
    </row>
    <row r="3009" spans="3:27">
      <c r="C3009" s="50"/>
      <c r="AA3009" s="353"/>
    </row>
    <row r="3010" spans="3:27">
      <c r="C3010" s="50"/>
      <c r="AA3010" s="353"/>
    </row>
    <row r="3011" spans="3:27">
      <c r="C3011" s="50"/>
      <c r="AA3011" s="353"/>
    </row>
    <row r="3012" spans="3:27">
      <c r="C3012" s="50"/>
      <c r="AA3012" s="353"/>
    </row>
    <row r="3013" spans="3:27">
      <c r="C3013" s="50"/>
      <c r="AA3013" s="353"/>
    </row>
    <row r="3014" spans="3:27">
      <c r="C3014" s="50"/>
      <c r="AA3014" s="353"/>
    </row>
    <row r="3015" spans="3:27">
      <c r="C3015" s="50"/>
      <c r="AA3015" s="353"/>
    </row>
    <row r="3016" spans="3:27">
      <c r="C3016" s="50"/>
      <c r="AA3016" s="353"/>
    </row>
    <row r="3017" spans="3:27">
      <c r="C3017" s="50"/>
      <c r="AA3017" s="353"/>
    </row>
    <row r="3018" spans="3:27">
      <c r="C3018" s="50"/>
      <c r="AA3018" s="353"/>
    </row>
    <row r="3019" spans="3:27">
      <c r="C3019" s="50"/>
      <c r="AA3019" s="353"/>
    </row>
    <row r="3020" spans="3:27">
      <c r="C3020" s="50"/>
      <c r="AA3020" s="353"/>
    </row>
    <row r="3021" spans="3:27">
      <c r="C3021" s="50"/>
      <c r="AA3021" s="353"/>
    </row>
    <row r="3022" spans="3:27">
      <c r="C3022" s="50"/>
      <c r="AA3022" s="353"/>
    </row>
    <row r="3023" spans="3:27">
      <c r="C3023" s="50"/>
      <c r="AA3023" s="353"/>
    </row>
    <row r="3024" spans="3:27">
      <c r="C3024" s="50"/>
      <c r="AA3024" s="353"/>
    </row>
    <row r="3025" spans="3:27">
      <c r="C3025" s="50"/>
      <c r="AA3025" s="353"/>
    </row>
    <row r="3026" spans="3:27">
      <c r="C3026" s="50"/>
      <c r="AA3026" s="353"/>
    </row>
    <row r="3027" spans="3:27">
      <c r="C3027" s="50"/>
      <c r="AA3027" s="353"/>
    </row>
    <row r="3028" spans="3:27">
      <c r="C3028" s="50"/>
      <c r="AA3028" s="353"/>
    </row>
    <row r="3029" spans="3:27">
      <c r="C3029" s="50"/>
      <c r="AA3029" s="353"/>
    </row>
    <row r="3030" spans="3:27">
      <c r="C3030" s="50"/>
      <c r="AA3030" s="353"/>
    </row>
    <row r="3031" spans="3:27">
      <c r="C3031" s="50"/>
      <c r="AA3031" s="353"/>
    </row>
    <row r="3032" spans="3:27">
      <c r="C3032" s="50"/>
      <c r="AA3032" s="353"/>
    </row>
    <row r="3033" spans="3:27">
      <c r="C3033" s="50"/>
      <c r="AA3033" s="353"/>
    </row>
    <row r="3034" spans="3:27">
      <c r="C3034" s="50"/>
      <c r="AA3034" s="353"/>
    </row>
    <row r="3035" spans="3:27">
      <c r="C3035" s="50"/>
      <c r="AA3035" s="353"/>
    </row>
    <row r="3036" spans="3:27">
      <c r="C3036" s="50"/>
      <c r="AA3036" s="353"/>
    </row>
    <row r="3037" spans="3:27">
      <c r="C3037" s="50"/>
      <c r="AA3037" s="353"/>
    </row>
    <row r="3038" spans="3:27">
      <c r="C3038" s="50"/>
      <c r="AA3038" s="353"/>
    </row>
    <row r="3039" spans="3:27">
      <c r="C3039" s="50"/>
      <c r="AA3039" s="353"/>
    </row>
    <row r="3040" spans="3:27">
      <c r="C3040" s="50"/>
      <c r="AA3040" s="353"/>
    </row>
    <row r="3041" spans="3:27">
      <c r="C3041" s="50"/>
      <c r="AA3041" s="353"/>
    </row>
    <row r="3042" spans="3:27">
      <c r="C3042" s="50"/>
      <c r="AA3042" s="353"/>
    </row>
    <row r="3043" spans="3:27">
      <c r="C3043" s="50"/>
      <c r="AA3043" s="353"/>
    </row>
    <row r="3044" spans="3:27">
      <c r="C3044" s="50"/>
      <c r="AA3044" s="353"/>
    </row>
    <row r="3045" spans="3:27">
      <c r="C3045" s="50"/>
      <c r="AA3045" s="353"/>
    </row>
    <row r="3046" spans="3:27">
      <c r="C3046" s="50"/>
      <c r="AA3046" s="353"/>
    </row>
    <row r="3047" spans="3:27">
      <c r="C3047" s="50"/>
      <c r="AA3047" s="353"/>
    </row>
    <row r="3048" spans="3:27">
      <c r="C3048" s="50"/>
      <c r="AA3048" s="353"/>
    </row>
    <row r="3049" spans="3:27">
      <c r="C3049" s="50"/>
      <c r="AA3049" s="353"/>
    </row>
    <row r="3050" spans="3:27">
      <c r="C3050" s="50"/>
      <c r="AA3050" s="353"/>
    </row>
    <row r="3051" spans="3:27">
      <c r="C3051" s="50"/>
      <c r="AA3051" s="353"/>
    </row>
    <row r="3052" spans="3:27">
      <c r="C3052" s="50"/>
      <c r="AA3052" s="353"/>
    </row>
    <row r="3053" spans="3:27">
      <c r="C3053" s="50"/>
      <c r="AA3053" s="353"/>
    </row>
    <row r="3054" spans="3:27">
      <c r="C3054" s="50"/>
      <c r="AA3054" s="353"/>
    </row>
    <row r="3055" spans="3:27">
      <c r="C3055" s="50"/>
      <c r="AA3055" s="353"/>
    </row>
    <row r="3056" spans="3:27">
      <c r="C3056" s="50"/>
      <c r="AA3056" s="353"/>
    </row>
    <row r="3057" spans="3:27">
      <c r="C3057" s="50"/>
      <c r="AA3057" s="353"/>
    </row>
    <row r="3058" spans="3:27">
      <c r="C3058" s="50"/>
      <c r="AA3058" s="353"/>
    </row>
    <row r="3059" spans="3:27">
      <c r="C3059" s="50"/>
      <c r="AA3059" s="353"/>
    </row>
    <row r="3060" spans="3:27">
      <c r="C3060" s="50"/>
      <c r="AA3060" s="353"/>
    </row>
    <row r="3061" spans="3:27">
      <c r="C3061" s="50"/>
      <c r="AA3061" s="353"/>
    </row>
    <row r="3062" spans="3:27">
      <c r="C3062" s="50"/>
      <c r="AA3062" s="353"/>
    </row>
    <row r="3063" spans="3:27">
      <c r="C3063" s="50"/>
      <c r="AA3063" s="353"/>
    </row>
    <row r="3064" spans="3:27">
      <c r="C3064" s="50"/>
      <c r="AA3064" s="353"/>
    </row>
    <row r="3065" spans="3:27">
      <c r="C3065" s="50"/>
      <c r="AA3065" s="353"/>
    </row>
    <row r="3066" spans="3:27">
      <c r="C3066" s="50"/>
      <c r="AA3066" s="353"/>
    </row>
    <row r="3067" spans="3:27">
      <c r="C3067" s="50"/>
      <c r="AA3067" s="353"/>
    </row>
    <row r="3068" spans="3:27">
      <c r="C3068" s="50"/>
      <c r="AA3068" s="353"/>
    </row>
    <row r="3069" spans="3:27">
      <c r="C3069" s="50"/>
      <c r="AA3069" s="353"/>
    </row>
    <row r="3070" spans="3:27">
      <c r="C3070" s="50"/>
      <c r="AA3070" s="353"/>
    </row>
    <row r="3071" spans="3:27">
      <c r="C3071" s="50"/>
      <c r="AA3071" s="353"/>
    </row>
    <row r="3072" spans="3:27">
      <c r="C3072" s="50"/>
      <c r="AA3072" s="353"/>
    </row>
    <row r="3073" spans="3:27">
      <c r="C3073" s="50"/>
      <c r="AA3073" s="353"/>
    </row>
    <row r="3074" spans="3:27">
      <c r="C3074" s="50"/>
    </row>
    <row r="3075" spans="3:27">
      <c r="C3075" s="50"/>
    </row>
    <row r="3076" spans="3:27">
      <c r="C3076" s="50"/>
    </row>
    <row r="3077" spans="3:27">
      <c r="C3077" s="50"/>
    </row>
    <row r="3078" spans="3:27">
      <c r="C3078" s="50"/>
    </row>
    <row r="3079" spans="3:27">
      <c r="C3079" s="50"/>
    </row>
    <row r="3080" spans="3:27">
      <c r="C3080" s="50"/>
    </row>
    <row r="3081" spans="3:27">
      <c r="C3081" s="50"/>
    </row>
    <row r="3082" spans="3:27">
      <c r="C3082" s="50"/>
    </row>
    <row r="3083" spans="3:27">
      <c r="C3083" s="50"/>
    </row>
    <row r="3084" spans="3:27">
      <c r="C3084" s="50"/>
    </row>
    <row r="3085" spans="3:27">
      <c r="C3085" s="50"/>
    </row>
    <row r="3086" spans="3:27">
      <c r="C3086" s="50"/>
    </row>
    <row r="3087" spans="3:27">
      <c r="C3087" s="50"/>
    </row>
    <row r="3088" spans="3:27">
      <c r="C3088" s="50"/>
    </row>
    <row r="3089" spans="3:3">
      <c r="C3089" s="50"/>
    </row>
    <row r="3090" spans="3:3">
      <c r="C3090" s="50"/>
    </row>
    <row r="3091" spans="3:3">
      <c r="C3091" s="50"/>
    </row>
    <row r="3092" spans="3:3">
      <c r="C3092" s="50"/>
    </row>
    <row r="3093" spans="3:3">
      <c r="C3093" s="50"/>
    </row>
    <row r="3094" spans="3:3">
      <c r="C3094" s="50"/>
    </row>
    <row r="3095" spans="3:3">
      <c r="C3095" s="50"/>
    </row>
    <row r="3096" spans="3:3">
      <c r="C3096" s="50"/>
    </row>
    <row r="3097" spans="3:3">
      <c r="C3097" s="50"/>
    </row>
    <row r="3098" spans="3:3">
      <c r="C3098" s="50"/>
    </row>
    <row r="3099" spans="3:3">
      <c r="C3099" s="50"/>
    </row>
    <row r="3100" spans="3:3">
      <c r="C3100" s="50"/>
    </row>
    <row r="3101" spans="3:3">
      <c r="C3101" s="50"/>
    </row>
    <row r="3102" spans="3:3">
      <c r="C3102" s="50"/>
    </row>
    <row r="3103" spans="3:3">
      <c r="C3103" s="50"/>
    </row>
    <row r="3104" spans="3:3">
      <c r="C3104" s="50"/>
    </row>
    <row r="3105" spans="3:3">
      <c r="C3105" s="50"/>
    </row>
    <row r="3106" spans="3:3">
      <c r="C3106" s="50"/>
    </row>
    <row r="3107" spans="3:3">
      <c r="C3107" s="50"/>
    </row>
    <row r="3108" spans="3:3">
      <c r="C3108" s="50"/>
    </row>
    <row r="3109" spans="3:3">
      <c r="C3109" s="50"/>
    </row>
    <row r="3110" spans="3:3">
      <c r="C3110" s="50"/>
    </row>
    <row r="3111" spans="3:3">
      <c r="C3111" s="50"/>
    </row>
    <row r="3112" spans="3:3">
      <c r="C3112" s="50"/>
    </row>
    <row r="3113" spans="3:3">
      <c r="C3113" s="50"/>
    </row>
    <row r="3114" spans="3:3">
      <c r="C3114" s="50"/>
    </row>
    <row r="3115" spans="3:3">
      <c r="C3115" s="50"/>
    </row>
    <row r="3116" spans="3:3">
      <c r="C3116" s="50"/>
    </row>
    <row r="3117" spans="3:3">
      <c r="C3117" s="50"/>
    </row>
    <row r="3118" spans="3:3">
      <c r="C3118" s="50"/>
    </row>
    <row r="3119" spans="3:3">
      <c r="C3119" s="50"/>
    </row>
    <row r="3120" spans="3:3">
      <c r="C3120" s="50"/>
    </row>
    <row r="3121" spans="3:3">
      <c r="C3121" s="50"/>
    </row>
    <row r="3122" spans="3:3">
      <c r="C3122" s="50"/>
    </row>
    <row r="3123" spans="3:3">
      <c r="C3123" s="50"/>
    </row>
    <row r="3124" spans="3:3">
      <c r="C3124" s="50"/>
    </row>
    <row r="3125" spans="3:3">
      <c r="C3125" s="50"/>
    </row>
    <row r="3126" spans="3:3">
      <c r="C3126" s="50"/>
    </row>
    <row r="3127" spans="3:3">
      <c r="C3127" s="50"/>
    </row>
    <row r="3128" spans="3:3">
      <c r="C3128" s="50"/>
    </row>
    <row r="3129" spans="3:3">
      <c r="C3129" s="50"/>
    </row>
    <row r="3130" spans="3:3">
      <c r="C3130" s="50"/>
    </row>
    <row r="3131" spans="3:3">
      <c r="C3131" s="50"/>
    </row>
    <row r="3132" spans="3:3">
      <c r="C3132" s="50"/>
    </row>
    <row r="3133" spans="3:3">
      <c r="C3133" s="50"/>
    </row>
    <row r="3134" spans="3:3">
      <c r="C3134" s="50"/>
    </row>
    <row r="3135" spans="3:3">
      <c r="C3135" s="50"/>
    </row>
    <row r="3136" spans="3:3">
      <c r="C3136" s="50"/>
    </row>
    <row r="3137" spans="3:3">
      <c r="C3137" s="50"/>
    </row>
    <row r="3138" spans="3:3">
      <c r="C3138" s="50"/>
    </row>
    <row r="3139" spans="3:3">
      <c r="C3139" s="50"/>
    </row>
    <row r="3140" spans="3:3">
      <c r="C3140" s="50"/>
    </row>
    <row r="3141" spans="3:3">
      <c r="C3141" s="50"/>
    </row>
    <row r="3142" spans="3:3">
      <c r="C3142" s="50"/>
    </row>
    <row r="3143" spans="3:3">
      <c r="C3143" s="50"/>
    </row>
    <row r="3144" spans="3:3">
      <c r="C3144" s="50"/>
    </row>
    <row r="3145" spans="3:3">
      <c r="C3145" s="50"/>
    </row>
    <row r="3146" spans="3:3">
      <c r="C3146" s="50"/>
    </row>
    <row r="3147" spans="3:3">
      <c r="C3147" s="50"/>
    </row>
    <row r="3148" spans="3:3">
      <c r="C3148" s="50"/>
    </row>
    <row r="3149" spans="3:3">
      <c r="C3149" s="50"/>
    </row>
    <row r="3150" spans="3:3">
      <c r="C3150" s="50"/>
    </row>
    <row r="3151" spans="3:3">
      <c r="C3151" s="50"/>
    </row>
    <row r="3152" spans="3:3">
      <c r="C3152" s="50"/>
    </row>
    <row r="3153" spans="3:3">
      <c r="C3153" s="50"/>
    </row>
    <row r="3154" spans="3:3">
      <c r="C3154" s="50"/>
    </row>
    <row r="3155" spans="3:3">
      <c r="C3155" s="50"/>
    </row>
    <row r="3156" spans="3:3">
      <c r="C3156" s="50"/>
    </row>
    <row r="3157" spans="3:3">
      <c r="C3157" s="50"/>
    </row>
    <row r="3158" spans="3:3">
      <c r="C3158" s="50"/>
    </row>
    <row r="3159" spans="3:3">
      <c r="C3159" s="50"/>
    </row>
    <row r="3160" spans="3:3">
      <c r="C3160" s="50"/>
    </row>
    <row r="3161" spans="3:3">
      <c r="C3161" s="50"/>
    </row>
    <row r="3162" spans="3:3">
      <c r="C3162" s="50"/>
    </row>
    <row r="3163" spans="3:3">
      <c r="C3163" s="50"/>
    </row>
    <row r="3164" spans="3:3">
      <c r="C3164" s="50"/>
    </row>
    <row r="3165" spans="3:3">
      <c r="C3165" s="50"/>
    </row>
    <row r="3166" spans="3:3">
      <c r="C3166" s="50"/>
    </row>
    <row r="3167" spans="3:3">
      <c r="C3167" s="50"/>
    </row>
    <row r="3168" spans="3:3">
      <c r="C3168" s="50"/>
    </row>
    <row r="3169" spans="3:3">
      <c r="C3169" s="50"/>
    </row>
    <row r="3170" spans="3:3">
      <c r="C3170" s="50"/>
    </row>
    <row r="3171" spans="3:3">
      <c r="C3171" s="50"/>
    </row>
    <row r="3172" spans="3:3">
      <c r="C3172" s="50"/>
    </row>
    <row r="3173" spans="3:3">
      <c r="C3173" s="50"/>
    </row>
    <row r="3174" spans="3:3">
      <c r="C3174" s="50"/>
    </row>
    <row r="3175" spans="3:3">
      <c r="C3175" s="50"/>
    </row>
    <row r="3176" spans="3:3">
      <c r="C3176" s="50"/>
    </row>
    <row r="3177" spans="3:3">
      <c r="C3177" s="50"/>
    </row>
    <row r="3178" spans="3:3">
      <c r="C3178" s="50"/>
    </row>
    <row r="3179" spans="3:3">
      <c r="C3179" s="50"/>
    </row>
    <row r="3180" spans="3:3">
      <c r="C3180" s="50"/>
    </row>
    <row r="3181" spans="3:3">
      <c r="C3181" s="50"/>
    </row>
    <row r="3182" spans="3:3">
      <c r="C3182" s="50"/>
    </row>
    <row r="3183" spans="3:3">
      <c r="C3183" s="50"/>
    </row>
    <row r="3184" spans="3:3">
      <c r="C3184" s="50"/>
    </row>
    <row r="3185" spans="3:3">
      <c r="C3185" s="50"/>
    </row>
    <row r="3186" spans="3:3">
      <c r="C3186" s="50"/>
    </row>
    <row r="3187" spans="3:3">
      <c r="C3187" s="50"/>
    </row>
    <row r="3188" spans="3:3">
      <c r="C3188" s="50"/>
    </row>
    <row r="3189" spans="3:3">
      <c r="C3189" s="50"/>
    </row>
    <row r="3190" spans="3:3">
      <c r="C3190" s="50"/>
    </row>
    <row r="3191" spans="3:3">
      <c r="C3191" s="50"/>
    </row>
    <row r="3192" spans="3:3">
      <c r="C3192" s="50"/>
    </row>
    <row r="3193" spans="3:3">
      <c r="C3193" s="50"/>
    </row>
    <row r="3194" spans="3:3">
      <c r="C3194" s="50"/>
    </row>
    <row r="3195" spans="3:3">
      <c r="C3195" s="50"/>
    </row>
    <row r="3196" spans="3:3">
      <c r="C3196" s="50"/>
    </row>
    <row r="3197" spans="3:3">
      <c r="C3197" s="50"/>
    </row>
    <row r="3198" spans="3:3">
      <c r="C3198" s="50"/>
    </row>
    <row r="3199" spans="3:3">
      <c r="C3199" s="50"/>
    </row>
    <row r="3200" spans="3:3">
      <c r="C3200" s="50"/>
    </row>
    <row r="3201" spans="3:3">
      <c r="C3201" s="50"/>
    </row>
    <row r="3202" spans="3:3">
      <c r="C3202" s="50"/>
    </row>
    <row r="3203" spans="3:3">
      <c r="C3203" s="50"/>
    </row>
    <row r="3204" spans="3:3">
      <c r="C3204" s="50"/>
    </row>
    <row r="3205" spans="3:3">
      <c r="C3205" s="50"/>
    </row>
    <row r="3206" spans="3:3">
      <c r="C3206" s="50"/>
    </row>
    <row r="3207" spans="3:3">
      <c r="C3207" s="50"/>
    </row>
    <row r="3208" spans="3:3">
      <c r="C3208" s="50"/>
    </row>
    <row r="3209" spans="3:3">
      <c r="C3209" s="50"/>
    </row>
    <row r="3210" spans="3:3">
      <c r="C3210" s="50"/>
    </row>
    <row r="3211" spans="3:3">
      <c r="C3211" s="50"/>
    </row>
    <row r="3212" spans="3:3">
      <c r="C3212" s="50"/>
    </row>
    <row r="3213" spans="3:3">
      <c r="C3213" s="50"/>
    </row>
    <row r="3214" spans="3:3">
      <c r="C3214" s="50"/>
    </row>
    <row r="3215" spans="3:3">
      <c r="C3215" s="50"/>
    </row>
    <row r="3216" spans="3:3">
      <c r="C3216" s="50"/>
    </row>
    <row r="3217" spans="3:3">
      <c r="C3217" s="50"/>
    </row>
    <row r="3218" spans="3:3">
      <c r="C3218" s="50"/>
    </row>
  </sheetData>
  <sortState ref="A5:AL44">
    <sortCondition ref="A5:A30"/>
  </sortState>
  <mergeCells count="1">
    <mergeCell ref="S3:Y3"/>
  </mergeCells>
  <phoneticPr fontId="10" type="noConversion"/>
  <pageMargins left="0.75" right="0.75" top="1" bottom="1" header="0.5" footer="0.5"/>
  <pageSetup paperSize="9"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D64"/>
  <sheetViews>
    <sheetView zoomScale="95" zoomScaleNormal="95" workbookViewId="0">
      <selection activeCell="A7" sqref="A7"/>
    </sheetView>
  </sheetViews>
  <sheetFormatPr defaultRowHeight="12.75"/>
  <cols>
    <col min="1" max="1" width="15" customWidth="1"/>
    <col min="2" max="2" width="37.140625" customWidth="1"/>
    <col min="3" max="3" width="7.85546875" customWidth="1"/>
    <col min="4" max="4" width="12.42578125" customWidth="1"/>
  </cols>
  <sheetData>
    <row r="2" spans="1:4" s="50" customFormat="1" ht="25.5" customHeight="1">
      <c r="A2" s="512" t="s">
        <v>164</v>
      </c>
      <c r="B2" s="380" t="s">
        <v>165</v>
      </c>
      <c r="C2" s="380" t="s">
        <v>166</v>
      </c>
      <c r="D2" s="380" t="s">
        <v>1247</v>
      </c>
    </row>
    <row r="3" spans="1:4" s="50" customFormat="1" ht="12.75" customHeight="1">
      <c r="A3" s="814" t="s">
        <v>834</v>
      </c>
      <c r="B3" s="809" t="s">
        <v>172</v>
      </c>
      <c r="C3" s="475">
        <v>15</v>
      </c>
      <c r="D3" s="388">
        <v>39692</v>
      </c>
    </row>
    <row r="4" spans="1:4" s="345" customFormat="1">
      <c r="A4" s="12" t="s">
        <v>833</v>
      </c>
      <c r="B4" s="22" t="s">
        <v>1396</v>
      </c>
      <c r="C4" s="435">
        <v>2</v>
      </c>
      <c r="D4" s="388">
        <v>39692</v>
      </c>
    </row>
    <row r="5" spans="1:4">
      <c r="A5" s="6" t="s">
        <v>833</v>
      </c>
      <c r="B5" s="22" t="s">
        <v>749</v>
      </c>
      <c r="C5" s="435">
        <v>6.6</v>
      </c>
      <c r="D5" s="388">
        <v>39753</v>
      </c>
    </row>
    <row r="6" spans="1:4" ht="25.5">
      <c r="A6" s="52" t="s">
        <v>707</v>
      </c>
      <c r="B6" s="499" t="s">
        <v>2920</v>
      </c>
      <c r="C6" s="500">
        <v>14</v>
      </c>
      <c r="D6" s="807">
        <v>39934</v>
      </c>
    </row>
    <row r="7" spans="1:4">
      <c r="A7" s="6" t="s">
        <v>255</v>
      </c>
      <c r="B7" s="22" t="s">
        <v>246</v>
      </c>
      <c r="C7" s="435">
        <v>40</v>
      </c>
      <c r="D7" s="388">
        <v>39873</v>
      </c>
    </row>
    <row r="8" spans="1:4">
      <c r="A8" s="6" t="s">
        <v>976</v>
      </c>
      <c r="B8" s="22" t="s">
        <v>979</v>
      </c>
      <c r="C8" s="435">
        <v>2</v>
      </c>
      <c r="D8" s="388">
        <v>39873</v>
      </c>
    </row>
    <row r="9" spans="1:4">
      <c r="A9" s="6" t="s">
        <v>976</v>
      </c>
      <c r="B9" s="22" t="s">
        <v>731</v>
      </c>
      <c r="C9" s="435">
        <v>3</v>
      </c>
      <c r="D9" s="388">
        <v>39873</v>
      </c>
    </row>
    <row r="10" spans="1:4">
      <c r="A10" s="793" t="s">
        <v>707</v>
      </c>
      <c r="B10" s="488" t="s">
        <v>246</v>
      </c>
      <c r="C10" s="796">
        <v>30</v>
      </c>
      <c r="D10" s="807">
        <v>39934</v>
      </c>
    </row>
    <row r="11" spans="1:4" s="50" customFormat="1" ht="12.75" customHeight="1">
      <c r="A11" s="6" t="s">
        <v>255</v>
      </c>
      <c r="B11" s="22" t="s">
        <v>21</v>
      </c>
      <c r="C11" s="435">
        <v>20</v>
      </c>
      <c r="D11" s="388">
        <v>40057</v>
      </c>
    </row>
    <row r="12" spans="1:4">
      <c r="A12" s="6" t="s">
        <v>976</v>
      </c>
      <c r="B12" s="22" t="s">
        <v>749</v>
      </c>
      <c r="C12" s="435">
        <v>5</v>
      </c>
      <c r="D12" s="388">
        <v>40063</v>
      </c>
    </row>
    <row r="13" spans="1:4">
      <c r="A13" s="6" t="s">
        <v>255</v>
      </c>
      <c r="B13" s="22" t="s">
        <v>979</v>
      </c>
      <c r="C13" s="435">
        <v>3.5</v>
      </c>
      <c r="D13" s="388">
        <v>40087</v>
      </c>
    </row>
    <row r="14" spans="1:4">
      <c r="A14" s="6" t="s">
        <v>976</v>
      </c>
      <c r="B14" s="6" t="s">
        <v>246</v>
      </c>
      <c r="C14" s="435">
        <v>1.5</v>
      </c>
      <c r="D14" s="388">
        <v>40091</v>
      </c>
    </row>
    <row r="15" spans="1:4">
      <c r="A15" s="6" t="s">
        <v>255</v>
      </c>
      <c r="B15" s="6" t="s">
        <v>749</v>
      </c>
      <c r="C15" s="435">
        <v>5</v>
      </c>
      <c r="D15" s="388">
        <v>40100</v>
      </c>
    </row>
    <row r="16" spans="1:4">
      <c r="A16" s="255" t="s">
        <v>976</v>
      </c>
      <c r="B16" s="8" t="s">
        <v>1514</v>
      </c>
      <c r="C16" s="435">
        <v>4</v>
      </c>
      <c r="D16" s="388">
        <v>40107</v>
      </c>
    </row>
    <row r="17" spans="1:4">
      <c r="A17" s="6" t="s">
        <v>833</v>
      </c>
      <c r="B17" s="741" t="s">
        <v>83</v>
      </c>
      <c r="C17" s="435">
        <v>3</v>
      </c>
      <c r="D17" s="388">
        <v>40118</v>
      </c>
    </row>
    <row r="18" spans="1:4">
      <c r="A18" s="6" t="s">
        <v>847</v>
      </c>
      <c r="B18" s="12" t="s">
        <v>749</v>
      </c>
      <c r="C18" s="435">
        <v>2.5</v>
      </c>
      <c r="D18" s="388">
        <v>40126</v>
      </c>
    </row>
    <row r="19" spans="1:4">
      <c r="A19" s="6" t="s">
        <v>976</v>
      </c>
      <c r="B19" s="12" t="s">
        <v>979</v>
      </c>
      <c r="C19" s="435">
        <v>1.5</v>
      </c>
      <c r="D19" s="388">
        <v>40148</v>
      </c>
    </row>
    <row r="20" spans="1:4">
      <c r="A20" s="6" t="s">
        <v>707</v>
      </c>
      <c r="B20" s="6" t="s">
        <v>749</v>
      </c>
      <c r="C20" s="435">
        <v>3</v>
      </c>
      <c r="D20" s="388">
        <v>40148</v>
      </c>
    </row>
    <row r="21" spans="1:4">
      <c r="A21" s="447" t="s">
        <v>976</v>
      </c>
      <c r="B21" s="8" t="s">
        <v>1376</v>
      </c>
      <c r="C21" s="531">
        <v>1.5</v>
      </c>
      <c r="D21" s="560">
        <v>40179</v>
      </c>
    </row>
    <row r="22" spans="1:4" s="22" customFormat="1">
      <c r="A22" s="6" t="s">
        <v>255</v>
      </c>
      <c r="B22" s="22" t="s">
        <v>21</v>
      </c>
      <c r="C22" s="435">
        <v>2.5</v>
      </c>
      <c r="D22" s="560">
        <v>40254</v>
      </c>
    </row>
    <row r="23" spans="1:4">
      <c r="A23" s="6" t="s">
        <v>255</v>
      </c>
      <c r="B23" s="22" t="s">
        <v>21</v>
      </c>
      <c r="C23" s="435">
        <v>2</v>
      </c>
      <c r="D23" s="560">
        <v>40269</v>
      </c>
    </row>
    <row r="24" spans="1:4">
      <c r="A24" s="6" t="s">
        <v>563</v>
      </c>
      <c r="B24" s="23" t="s">
        <v>979</v>
      </c>
      <c r="C24" s="435">
        <f>1.5</f>
        <v>1.5</v>
      </c>
      <c r="D24" s="560">
        <v>40269</v>
      </c>
    </row>
    <row r="25" spans="1:4">
      <c r="A25" s="6" t="s">
        <v>563</v>
      </c>
      <c r="B25" s="23" t="s">
        <v>979</v>
      </c>
      <c r="C25" s="435">
        <f>1.4</f>
        <v>1.4</v>
      </c>
      <c r="D25" s="560">
        <v>40269</v>
      </c>
    </row>
    <row r="26" spans="1:4">
      <c r="A26" s="8" t="s">
        <v>847</v>
      </c>
      <c r="B26" s="558" t="s">
        <v>2530</v>
      </c>
      <c r="C26" s="531">
        <v>4.7</v>
      </c>
      <c r="D26" s="560">
        <v>40269</v>
      </c>
    </row>
    <row r="27" spans="1:4">
      <c r="A27" s="8" t="s">
        <v>847</v>
      </c>
      <c r="B27" s="558" t="s">
        <v>2530</v>
      </c>
      <c r="C27" s="531">
        <v>2.2000000000000002</v>
      </c>
      <c r="D27" s="560">
        <v>40269</v>
      </c>
    </row>
    <row r="28" spans="1:4" ht="25.5">
      <c r="A28" s="52" t="s">
        <v>255</v>
      </c>
      <c r="B28" s="63" t="s">
        <v>1897</v>
      </c>
      <c r="C28" s="500">
        <v>2</v>
      </c>
      <c r="D28" s="813">
        <v>40299</v>
      </c>
    </row>
    <row r="29" spans="1:4">
      <c r="A29" s="6" t="s">
        <v>847</v>
      </c>
      <c r="B29" s="22" t="s">
        <v>1053</v>
      </c>
      <c r="C29" s="435">
        <v>2.5</v>
      </c>
      <c r="D29" s="560">
        <v>40299</v>
      </c>
    </row>
    <row r="30" spans="1:4" s="22" customFormat="1">
      <c r="A30" s="255" t="s">
        <v>563</v>
      </c>
      <c r="B30" s="22" t="s">
        <v>1764</v>
      </c>
      <c r="C30" s="531">
        <v>0.5</v>
      </c>
      <c r="D30" s="560">
        <v>40360</v>
      </c>
    </row>
    <row r="31" spans="1:4" s="22" customFormat="1">
      <c r="A31" s="447" t="s">
        <v>563</v>
      </c>
      <c r="B31" s="22" t="s">
        <v>749</v>
      </c>
      <c r="C31" s="531">
        <v>5</v>
      </c>
      <c r="D31" s="560">
        <v>40360</v>
      </c>
    </row>
    <row r="32" spans="1:4" s="22" customFormat="1">
      <c r="A32" s="447" t="s">
        <v>563</v>
      </c>
      <c r="B32" s="23" t="s">
        <v>1512</v>
      </c>
      <c r="C32" s="531">
        <v>5</v>
      </c>
      <c r="D32" s="560">
        <v>40391</v>
      </c>
    </row>
    <row r="33" spans="1:4" s="22" customFormat="1">
      <c r="A33" s="6" t="s">
        <v>255</v>
      </c>
      <c r="B33" s="22" t="s">
        <v>21</v>
      </c>
      <c r="C33" s="435">
        <v>1.2</v>
      </c>
      <c r="D33" s="560">
        <v>40422</v>
      </c>
    </row>
    <row r="34" spans="1:4" s="22" customFormat="1">
      <c r="A34" s="447" t="s">
        <v>563</v>
      </c>
      <c r="B34" s="12" t="s">
        <v>2163</v>
      </c>
      <c r="C34" s="931">
        <v>3</v>
      </c>
      <c r="D34" s="560">
        <v>40422</v>
      </c>
    </row>
    <row r="35" spans="1:4" s="22" customFormat="1">
      <c r="A35" s="255" t="s">
        <v>563</v>
      </c>
      <c r="B35" s="458" t="s">
        <v>83</v>
      </c>
      <c r="C35" s="531">
        <v>1.5</v>
      </c>
      <c r="D35" s="560">
        <v>40487</v>
      </c>
    </row>
    <row r="36" spans="1:4" s="22" customFormat="1">
      <c r="A36" s="6" t="s">
        <v>255</v>
      </c>
      <c r="B36" s="22" t="s">
        <v>21</v>
      </c>
      <c r="C36" s="435">
        <v>9.5500000000000007</v>
      </c>
      <c r="D36" s="560">
        <v>40513</v>
      </c>
    </row>
    <row r="37" spans="1:4">
      <c r="A37" s="447" t="s">
        <v>563</v>
      </c>
      <c r="B37" s="22" t="s">
        <v>2163</v>
      </c>
      <c r="C37" s="531">
        <v>3</v>
      </c>
      <c r="D37" s="560">
        <v>40513</v>
      </c>
    </row>
    <row r="38" spans="1:4" s="22" customFormat="1">
      <c r="A38" s="255" t="s">
        <v>563</v>
      </c>
      <c r="B38" s="741" t="s">
        <v>83</v>
      </c>
      <c r="C38" s="435">
        <v>1.4</v>
      </c>
      <c r="D38" s="560">
        <v>40513</v>
      </c>
    </row>
    <row r="39" spans="1:4" s="22" customFormat="1">
      <c r="A39" s="447" t="s">
        <v>563</v>
      </c>
      <c r="B39" s="12" t="s">
        <v>1764</v>
      </c>
      <c r="C39" s="811">
        <v>10.45</v>
      </c>
      <c r="D39" s="560">
        <v>40513</v>
      </c>
    </row>
    <row r="40" spans="1:4" s="22" customFormat="1" ht="12" customHeight="1">
      <c r="A40" s="447" t="s">
        <v>563</v>
      </c>
      <c r="B40" s="12" t="s">
        <v>1764</v>
      </c>
      <c r="C40" s="435">
        <v>1.4</v>
      </c>
      <c r="D40" s="560">
        <v>40513</v>
      </c>
    </row>
    <row r="41" spans="1:4">
      <c r="A41" s="8" t="s">
        <v>847</v>
      </c>
      <c r="B41" s="558" t="s">
        <v>246</v>
      </c>
      <c r="C41" s="435">
        <v>4</v>
      </c>
      <c r="D41" s="560">
        <v>40513</v>
      </c>
    </row>
    <row r="42" spans="1:4">
      <c r="A42" s="255" t="s">
        <v>563</v>
      </c>
      <c r="B42" s="458" t="s">
        <v>83</v>
      </c>
      <c r="C42" s="531">
        <v>10</v>
      </c>
      <c r="D42" s="560">
        <v>40544</v>
      </c>
    </row>
    <row r="43" spans="1:4">
      <c r="A43" s="447" t="s">
        <v>563</v>
      </c>
      <c r="B43" s="458" t="s">
        <v>2528</v>
      </c>
      <c r="C43" s="531">
        <v>0.5</v>
      </c>
      <c r="D43" s="560">
        <v>40544</v>
      </c>
    </row>
    <row r="44" spans="1:4">
      <c r="A44" s="447" t="s">
        <v>563</v>
      </c>
      <c r="B44" s="458" t="s">
        <v>2528</v>
      </c>
      <c r="C44" s="531">
        <v>5.5</v>
      </c>
      <c r="D44" s="560">
        <v>40544</v>
      </c>
    </row>
    <row r="45" spans="1:4" s="22" customFormat="1">
      <c r="A45" s="447" t="s">
        <v>563</v>
      </c>
      <c r="B45" s="22" t="s">
        <v>1764</v>
      </c>
      <c r="C45" s="531">
        <v>1.6</v>
      </c>
      <c r="D45" s="560">
        <v>40544</v>
      </c>
    </row>
    <row r="46" spans="1:4" s="22" customFormat="1">
      <c r="A46" s="447" t="s">
        <v>563</v>
      </c>
      <c r="B46" s="22" t="s">
        <v>749</v>
      </c>
      <c r="C46" s="559">
        <v>7.5</v>
      </c>
      <c r="D46" s="560">
        <v>40664</v>
      </c>
    </row>
    <row r="47" spans="1:4" s="22" customFormat="1">
      <c r="A47" s="6" t="s">
        <v>255</v>
      </c>
      <c r="B47" s="22" t="s">
        <v>21</v>
      </c>
      <c r="C47" s="531">
        <v>1</v>
      </c>
      <c r="D47" s="388">
        <v>40634</v>
      </c>
    </row>
    <row r="48" spans="1:4" s="22" customFormat="1">
      <c r="A48" s="6" t="s">
        <v>255</v>
      </c>
      <c r="B48" s="22" t="s">
        <v>21</v>
      </c>
      <c r="C48" s="812">
        <v>0.75</v>
      </c>
      <c r="D48" s="388">
        <v>40664</v>
      </c>
    </row>
    <row r="49" spans="1:4" s="59" customFormat="1" ht="27" customHeight="1">
      <c r="A49" s="6" t="s">
        <v>255</v>
      </c>
      <c r="B49" s="458" t="s">
        <v>621</v>
      </c>
      <c r="C49" s="531">
        <v>2.6</v>
      </c>
      <c r="D49" s="388">
        <v>40817</v>
      </c>
    </row>
    <row r="50" spans="1:4" s="345" customFormat="1" ht="13.5" customHeight="1">
      <c r="A50" s="808" t="s">
        <v>879</v>
      </c>
      <c r="B50" s="809" t="s">
        <v>2933</v>
      </c>
      <c r="C50" s="475">
        <v>30</v>
      </c>
      <c r="D50" s="388">
        <v>40878</v>
      </c>
    </row>
    <row r="51" spans="1:4" s="345" customFormat="1" ht="13.5" customHeight="1">
      <c r="A51" s="808" t="s">
        <v>573</v>
      </c>
      <c r="B51" s="809" t="s">
        <v>979</v>
      </c>
      <c r="C51" s="475">
        <v>1</v>
      </c>
      <c r="D51" s="388">
        <v>40878</v>
      </c>
    </row>
    <row r="52" spans="1:4" s="345" customFormat="1" ht="13.5" customHeight="1">
      <c r="A52" s="808" t="s">
        <v>563</v>
      </c>
      <c r="B52" s="809" t="s">
        <v>2163</v>
      </c>
      <c r="C52" s="475">
        <v>1.55</v>
      </c>
      <c r="D52" s="826">
        <v>40909</v>
      </c>
    </row>
    <row r="53" spans="1:4" s="345" customFormat="1" ht="13.5" customHeight="1">
      <c r="A53" s="808" t="s">
        <v>563</v>
      </c>
      <c r="B53" s="809" t="s">
        <v>979</v>
      </c>
      <c r="C53" s="475">
        <v>1.5</v>
      </c>
      <c r="D53" s="826">
        <v>40909</v>
      </c>
    </row>
    <row r="54" spans="1:4" s="345" customFormat="1" ht="13.5" customHeight="1">
      <c r="A54" s="6" t="s">
        <v>255</v>
      </c>
      <c r="B54" s="809" t="s">
        <v>1376</v>
      </c>
      <c r="C54" s="475">
        <v>12.5</v>
      </c>
      <c r="D54" s="826">
        <v>41030</v>
      </c>
    </row>
    <row r="55" spans="1:4" s="345" customFormat="1" ht="13.5" customHeight="1">
      <c r="A55" s="808" t="s">
        <v>573</v>
      </c>
      <c r="B55" s="809" t="s">
        <v>979</v>
      </c>
      <c r="C55" s="475">
        <v>6</v>
      </c>
      <c r="D55" s="388">
        <v>41082</v>
      </c>
    </row>
    <row r="56" spans="1:4" s="345" customFormat="1" ht="13.5" customHeight="1">
      <c r="A56" s="808" t="s">
        <v>563</v>
      </c>
      <c r="B56" s="809" t="s">
        <v>979</v>
      </c>
      <c r="C56" s="475">
        <v>10.9</v>
      </c>
      <c r="D56" s="388">
        <v>41153</v>
      </c>
    </row>
    <row r="57" spans="1:4" s="345" customFormat="1" ht="13.5" customHeight="1">
      <c r="A57" s="447" t="s">
        <v>847</v>
      </c>
      <c r="B57" s="932" t="s">
        <v>749</v>
      </c>
      <c r="C57" s="988">
        <v>80</v>
      </c>
      <c r="D57" s="560">
        <v>41183</v>
      </c>
    </row>
    <row r="58" spans="1:4" s="345" customFormat="1" ht="13.5" customHeight="1">
      <c r="A58" s="447" t="s">
        <v>847</v>
      </c>
      <c r="B58" s="932" t="s">
        <v>621</v>
      </c>
      <c r="C58" s="435">
        <v>42</v>
      </c>
      <c r="D58" s="560">
        <v>41214</v>
      </c>
    </row>
    <row r="59" spans="1:4" s="345" customFormat="1" ht="13.5" customHeight="1">
      <c r="A59" s="447" t="s">
        <v>976</v>
      </c>
      <c r="B59" s="932" t="s">
        <v>979</v>
      </c>
      <c r="C59" s="435">
        <v>10.199999999999999</v>
      </c>
      <c r="D59" s="560">
        <v>41244</v>
      </c>
    </row>
    <row r="60" spans="1:4" s="345" customFormat="1" ht="13.5" customHeight="1">
      <c r="A60" s="447" t="s">
        <v>563</v>
      </c>
      <c r="B60" s="932" t="s">
        <v>1512</v>
      </c>
      <c r="C60" s="810" t="s">
        <v>4079</v>
      </c>
      <c r="D60" s="560">
        <v>41426</v>
      </c>
    </row>
    <row r="61" spans="1:4" s="59" customFormat="1">
      <c r="A61" s="822"/>
      <c r="B61" s="823"/>
      <c r="C61" s="824"/>
      <c r="D61" s="825"/>
    </row>
    <row r="62" spans="1:4">
      <c r="A62" s="9" t="s">
        <v>974</v>
      </c>
      <c r="C62" s="409">
        <f>SUM(C3:C61)</f>
        <v>452.99999999999994</v>
      </c>
    </row>
    <row r="63" spans="1:4" s="22" customFormat="1">
      <c r="A63" s="484" t="s">
        <v>2529</v>
      </c>
      <c r="B63"/>
      <c r="C63" s="40"/>
      <c r="D63"/>
    </row>
    <row r="64" spans="1:4">
      <c r="C64" s="40"/>
    </row>
  </sheetData>
  <sortState ref="A3:G62">
    <sortCondition ref="D3:D62"/>
  </sortState>
  <phoneticPr fontId="10" type="noConversion"/>
  <pageMargins left="0.75" right="0.75" top="1" bottom="1" header="0.5" footer="0.5"/>
  <pageSetup paperSize="9"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pageSetUpPr fitToPage="1"/>
  </sheetPr>
  <dimension ref="A1:AL471"/>
  <sheetViews>
    <sheetView zoomScale="75" workbookViewId="0"/>
  </sheetViews>
  <sheetFormatPr defaultRowHeight="12.75"/>
  <cols>
    <col min="1" max="1" width="46.5703125" customWidth="1"/>
    <col min="2" max="2" width="16.7109375" style="40" customWidth="1"/>
    <col min="3" max="3" width="12" customWidth="1"/>
    <col min="4" max="4" width="13.28515625" customWidth="1"/>
    <col min="5" max="5" width="11.28515625" customWidth="1"/>
    <col min="6" max="6" width="10.5703125" customWidth="1"/>
    <col min="7" max="7" width="11.42578125" customWidth="1"/>
    <col min="8" max="8" width="11.28515625" customWidth="1"/>
    <col min="9" max="9" width="10.28515625" customWidth="1"/>
    <col min="10" max="10" width="11.5703125" customWidth="1"/>
    <col min="11" max="11" width="9.42578125" customWidth="1"/>
    <col min="12" max="12" width="9.28515625" customWidth="1"/>
    <col min="13" max="13" width="11.140625" customWidth="1"/>
    <col min="14" max="14" width="11.28515625" customWidth="1"/>
    <col min="15" max="15" width="10.140625" customWidth="1"/>
    <col min="16" max="16" width="10.85546875" customWidth="1"/>
    <col min="17" max="17" width="9.7109375" customWidth="1"/>
    <col min="18" max="18" width="7.140625" customWidth="1"/>
    <col min="19" max="19" width="8.140625" customWidth="1"/>
    <col min="20" max="20" width="9.85546875" customWidth="1"/>
    <col min="21" max="21" width="16" customWidth="1"/>
    <col min="22" max="22" width="11.5703125" customWidth="1"/>
    <col min="23" max="23" width="48.28515625" customWidth="1"/>
    <col min="24" max="24" width="9.28515625" customWidth="1"/>
    <col min="25" max="25" width="10.85546875" customWidth="1"/>
    <col min="26" max="26" width="8" customWidth="1"/>
    <col min="27" max="27" width="8.28515625" customWidth="1"/>
    <col min="28" max="28" width="8.7109375" customWidth="1"/>
    <col min="29" max="29" width="7.28515625" customWidth="1"/>
    <col min="30" max="30" width="10.28515625" customWidth="1"/>
    <col min="31" max="31" width="7.140625" customWidth="1"/>
    <col min="32" max="32" width="8.42578125" customWidth="1"/>
    <col min="33" max="34" width="9.28515625" customWidth="1"/>
    <col min="35" max="35" width="42.140625" customWidth="1"/>
    <col min="36" max="36" width="9.42578125" customWidth="1"/>
    <col min="37" max="37" width="9.28515625" customWidth="1"/>
    <col min="38" max="38" width="84.28515625" customWidth="1"/>
  </cols>
  <sheetData>
    <row r="1" spans="1:35">
      <c r="A1" t="str">
        <f>+JI_Projects!A2</f>
        <v>The Pipeline was produced by Jørgen Fenhann, UNEP DTU Partnership,  1st November 2018 , jqfe@dtu.dk, Phone (+45)40202789</v>
      </c>
      <c r="X1" s="97"/>
    </row>
    <row r="2" spans="1:35">
      <c r="W2" t="s">
        <v>330</v>
      </c>
      <c r="X2" s="97"/>
    </row>
    <row r="3" spans="1:35">
      <c r="A3" t="s">
        <v>323</v>
      </c>
      <c r="W3" s="10"/>
      <c r="X3" s="815" t="s">
        <v>2401</v>
      </c>
    </row>
    <row r="4" spans="1:35">
      <c r="A4" s="328" t="s">
        <v>1185</v>
      </c>
      <c r="B4" s="75" t="s">
        <v>1226</v>
      </c>
      <c r="C4" s="82" t="s">
        <v>1227</v>
      </c>
      <c r="D4" s="75" t="s">
        <v>974</v>
      </c>
      <c r="W4" s="254" t="s">
        <v>3933</v>
      </c>
      <c r="X4" s="209">
        <f>(AD42+PoAs!S46)/1000</f>
        <v>863.61239716500017</v>
      </c>
    </row>
    <row r="5" spans="1:35">
      <c r="A5" s="66" t="s">
        <v>73</v>
      </c>
      <c r="B5" s="120">
        <v>0</v>
      </c>
      <c r="C5" s="5">
        <v>157</v>
      </c>
      <c r="D5" s="5">
        <f t="shared" ref="D5:D15" si="0">+B5+C5</f>
        <v>157</v>
      </c>
      <c r="W5" s="534" t="s">
        <v>3934</v>
      </c>
      <c r="X5" s="96">
        <f>+U118/1000</f>
        <v>871.89362900000003</v>
      </c>
    </row>
    <row r="6" spans="1:35" ht="18">
      <c r="A6" s="100" t="s">
        <v>551</v>
      </c>
      <c r="B6" s="366">
        <v>0</v>
      </c>
      <c r="C6" s="79">
        <v>0</v>
      </c>
      <c r="D6" s="79">
        <f t="shared" si="0"/>
        <v>0</v>
      </c>
      <c r="R6" s="1106" t="s">
        <v>4107</v>
      </c>
      <c r="S6" s="1106"/>
      <c r="T6" s="1106"/>
      <c r="U6" s="1106"/>
      <c r="W6" s="558" t="s">
        <v>4040</v>
      </c>
    </row>
    <row r="7" spans="1:35">
      <c r="A7" s="77" t="s">
        <v>1737</v>
      </c>
      <c r="B7" s="367">
        <v>0</v>
      </c>
      <c r="C7" s="79">
        <v>0</v>
      </c>
      <c r="D7" s="79">
        <f t="shared" si="0"/>
        <v>0</v>
      </c>
      <c r="W7" s="558" t="s">
        <v>3935</v>
      </c>
    </row>
    <row r="8" spans="1:35">
      <c r="A8" s="77" t="s">
        <v>37</v>
      </c>
      <c r="B8" s="367">
        <v>0</v>
      </c>
      <c r="C8" s="79">
        <v>0</v>
      </c>
      <c r="D8" s="79">
        <f t="shared" si="0"/>
        <v>0</v>
      </c>
    </row>
    <row r="9" spans="1:35">
      <c r="A9" s="77" t="s">
        <v>1071</v>
      </c>
      <c r="B9" s="367">
        <v>0</v>
      </c>
      <c r="C9" s="78">
        <v>0</v>
      </c>
      <c r="D9" s="904">
        <f t="shared" si="0"/>
        <v>0</v>
      </c>
      <c r="E9" s="1"/>
      <c r="F9" s="1"/>
    </row>
    <row r="10" spans="1:35" ht="15" customHeight="1">
      <c r="A10" s="242" t="s">
        <v>74</v>
      </c>
      <c r="B10" s="368">
        <f>SUM(B6:B9)</f>
        <v>0</v>
      </c>
      <c r="C10" s="368">
        <f>SUM(C6:C9)</f>
        <v>0</v>
      </c>
      <c r="D10" s="232">
        <f t="shared" si="0"/>
        <v>0</v>
      </c>
      <c r="E10" s="1"/>
      <c r="F10" s="1"/>
    </row>
    <row r="11" spans="1:35">
      <c r="A11" s="124" t="s">
        <v>1593</v>
      </c>
      <c r="B11" s="369">
        <v>0</v>
      </c>
      <c r="C11" s="45">
        <v>26</v>
      </c>
      <c r="D11" s="45">
        <f t="shared" si="0"/>
        <v>26</v>
      </c>
      <c r="AD11" s="240"/>
    </row>
    <row r="12" spans="1:35">
      <c r="A12" s="124" t="s">
        <v>1072</v>
      </c>
      <c r="B12" s="370">
        <v>0</v>
      </c>
      <c r="C12" s="45">
        <v>1</v>
      </c>
      <c r="D12" s="45">
        <f t="shared" si="0"/>
        <v>1</v>
      </c>
      <c r="W12" t="s">
        <v>148</v>
      </c>
    </row>
    <row r="13" spans="1:35" ht="12.75" customHeight="1">
      <c r="A13" s="49" t="s">
        <v>163</v>
      </c>
      <c r="B13" s="371">
        <v>101</v>
      </c>
      <c r="C13" s="14">
        <v>8</v>
      </c>
      <c r="D13" s="14">
        <f t="shared" si="0"/>
        <v>109</v>
      </c>
      <c r="W13" s="5"/>
      <c r="X13" s="1115" t="s">
        <v>982</v>
      </c>
      <c r="Y13" s="1116"/>
      <c r="Z13" s="1116"/>
      <c r="AA13" s="1116"/>
      <c r="AB13" s="1116"/>
      <c r="AC13" s="1116"/>
      <c r="AD13" s="1116"/>
      <c r="AE13" s="955"/>
    </row>
    <row r="14" spans="1:35">
      <c r="A14" s="49" t="s">
        <v>162</v>
      </c>
      <c r="B14" s="372">
        <v>454</v>
      </c>
      <c r="C14" s="14">
        <v>41</v>
      </c>
      <c r="D14" s="14">
        <f t="shared" si="0"/>
        <v>495</v>
      </c>
      <c r="W14" s="408" t="s">
        <v>848</v>
      </c>
      <c r="X14" s="1112" t="s">
        <v>837</v>
      </c>
      <c r="Y14" s="1114"/>
      <c r="Z14" s="1112" t="s">
        <v>627</v>
      </c>
      <c r="AA14" s="1114"/>
      <c r="AB14" s="1112" t="s">
        <v>628</v>
      </c>
      <c r="AC14" s="1114"/>
      <c r="AD14" s="1112" t="s">
        <v>629</v>
      </c>
      <c r="AE14" s="1114"/>
    </row>
    <row r="15" spans="1:35" ht="16.149999999999999" customHeight="1">
      <c r="A15" s="243" t="s">
        <v>2073</v>
      </c>
      <c r="B15" s="373">
        <f>B13+B14</f>
        <v>555</v>
      </c>
      <c r="C15" s="373">
        <f>C13+C14</f>
        <v>49</v>
      </c>
      <c r="D15" s="14">
        <f t="shared" si="0"/>
        <v>604</v>
      </c>
      <c r="W15" s="5" t="s">
        <v>1548</v>
      </c>
      <c r="X15" s="88">
        <f>+B$41</f>
        <v>172</v>
      </c>
      <c r="Y15" s="547">
        <f t="shared" ref="Y15:Y41" si="1">X15/X$42</f>
        <v>0.22601839684625494</v>
      </c>
      <c r="Z15" s="88">
        <f>+C$41</f>
        <v>137973.38842190476</v>
      </c>
      <c r="AA15" s="547">
        <f t="shared" ref="AA15:AA41" si="2">Z15/Z$42</f>
        <v>0.45366050159597676</v>
      </c>
      <c r="AB15" s="88">
        <f>+D$41</f>
        <v>628504.2266299997</v>
      </c>
      <c r="AC15" s="547">
        <f t="shared" ref="AC15:AC41" si="3">AB15/AB$42</f>
        <v>0.46046817567156201</v>
      </c>
      <c r="AD15" s="88">
        <f>+T$41</f>
        <v>432669.34689500008</v>
      </c>
      <c r="AE15" s="547">
        <f t="shared" ref="AE15:AE41" si="4">AD15/AD$42</f>
        <v>0.50105517781381659</v>
      </c>
    </row>
    <row r="16" spans="1:35" ht="16.149999999999999" customHeight="1">
      <c r="A16" s="192" t="s">
        <v>688</v>
      </c>
      <c r="B16" s="47">
        <f>B5+B10+B11+B12+B15</f>
        <v>555</v>
      </c>
      <c r="C16" s="109">
        <f>C5+C10+C11+C12+C15</f>
        <v>233</v>
      </c>
      <c r="D16" s="96">
        <f>+B16+C16</f>
        <v>788</v>
      </c>
      <c r="W16" s="6" t="s">
        <v>1736</v>
      </c>
      <c r="X16" s="90">
        <f>+B$36</f>
        <v>103</v>
      </c>
      <c r="Y16" s="135">
        <f t="shared" si="1"/>
        <v>0.13534822601839686</v>
      </c>
      <c r="Z16" s="90">
        <f>+C$36</f>
        <v>43167.983383950181</v>
      </c>
      <c r="AA16" s="135">
        <f t="shared" si="2"/>
        <v>0.14193758099906548</v>
      </c>
      <c r="AB16" s="90">
        <f>+D$36</f>
        <v>199703.31153800007</v>
      </c>
      <c r="AC16" s="135">
        <f t="shared" si="3"/>
        <v>0.14631090077554493</v>
      </c>
      <c r="AD16" s="90">
        <f>+T$36</f>
        <v>111762.52740000004</v>
      </c>
      <c r="AE16" s="135">
        <f t="shared" si="4"/>
        <v>0.12942722529617615</v>
      </c>
      <c r="AI16" t="s">
        <v>1174</v>
      </c>
    </row>
    <row r="17" spans="1:38">
      <c r="A17" s="10" t="s">
        <v>1228</v>
      </c>
      <c r="B17" s="374">
        <v>19</v>
      </c>
      <c r="C17" s="10">
        <v>0</v>
      </c>
      <c r="D17" s="10">
        <f>+B17+C17</f>
        <v>19</v>
      </c>
      <c r="W17" s="6" t="s">
        <v>1488</v>
      </c>
      <c r="X17" s="90">
        <f>B$45</f>
        <v>83</v>
      </c>
      <c r="Y17" s="135">
        <f t="shared" si="1"/>
        <v>0.10906701708278581</v>
      </c>
      <c r="Z17" s="90">
        <f>C$45</f>
        <v>4516.050261408398</v>
      </c>
      <c r="AA17" s="135">
        <f t="shared" si="2"/>
        <v>1.4848904199977697E-2</v>
      </c>
      <c r="AB17" s="90">
        <f>+D$45</f>
        <v>20165.967961000002</v>
      </c>
      <c r="AC17" s="135">
        <f t="shared" si="3"/>
        <v>1.4774421689162929E-2</v>
      </c>
      <c r="AD17" s="90">
        <f>T$45</f>
        <v>2899.5034999999998</v>
      </c>
      <c r="AE17" s="135">
        <f t="shared" si="4"/>
        <v>3.3577863839678265E-3</v>
      </c>
      <c r="AI17" s="74"/>
      <c r="AJ17" s="4" t="s">
        <v>974</v>
      </c>
      <c r="AK17" s="117" t="s">
        <v>883</v>
      </c>
      <c r="AL17" s="5"/>
    </row>
    <row r="18" spans="1:38" ht="14.45" customHeight="1">
      <c r="C18" s="1"/>
      <c r="D18" s="1"/>
      <c r="W18" s="8" t="s">
        <v>681</v>
      </c>
      <c r="X18" s="90">
        <f>+B$34</f>
        <v>56</v>
      </c>
      <c r="Y18" s="135">
        <f t="shared" si="1"/>
        <v>7.3587385019710905E-2</v>
      </c>
      <c r="Z18" s="90">
        <f>+C$34</f>
        <v>16203.600819999996</v>
      </c>
      <c r="AA18" s="135">
        <f t="shared" si="2"/>
        <v>5.3277909310917075E-2</v>
      </c>
      <c r="AB18" s="90">
        <f>+D$34</f>
        <v>83691.231398999997</v>
      </c>
      <c r="AC18" s="135">
        <f t="shared" si="3"/>
        <v>6.1315655502649287E-2</v>
      </c>
      <c r="AD18" s="90">
        <f>+T$34</f>
        <v>60188.472910000011</v>
      </c>
      <c r="AE18" s="135">
        <f t="shared" si="4"/>
        <v>6.9701600570240538E-2</v>
      </c>
      <c r="AI18" s="19" t="s">
        <v>848</v>
      </c>
      <c r="AJ18" s="15" t="s">
        <v>1487</v>
      </c>
      <c r="AK18" s="196">
        <v>42005</v>
      </c>
      <c r="AL18" s="16" t="s">
        <v>565</v>
      </c>
    </row>
    <row r="19" spans="1:38">
      <c r="C19" s="1"/>
      <c r="D19" s="1"/>
      <c r="W19" s="6" t="s">
        <v>981</v>
      </c>
      <c r="X19" s="90">
        <f>+B$48</f>
        <v>55</v>
      </c>
      <c r="Y19" s="135">
        <f t="shared" si="1"/>
        <v>7.2273324572930356E-2</v>
      </c>
      <c r="Z19" s="90">
        <f>+C$48</f>
        <v>26601.49089400224</v>
      </c>
      <c r="AA19" s="135">
        <f t="shared" si="2"/>
        <v>8.7466473355509264E-2</v>
      </c>
      <c r="AB19" s="90">
        <f>+D$48</f>
        <v>103999.45670750001</v>
      </c>
      <c r="AC19" s="135">
        <f t="shared" si="3"/>
        <v>7.6194300804802759E-2</v>
      </c>
      <c r="AD19" s="90">
        <f>+T$48</f>
        <v>57297.495459999998</v>
      </c>
      <c r="AE19" s="135">
        <f t="shared" si="4"/>
        <v>6.6353687826569738E-2</v>
      </c>
      <c r="AI19" s="206" t="s">
        <v>880</v>
      </c>
      <c r="AJ19" s="151">
        <f>+X35</f>
        <v>2</v>
      </c>
      <c r="AK19" s="185">
        <f>+Time!DL90+Time!DL113</f>
        <v>0</v>
      </c>
      <c r="AL19" s="5" t="s">
        <v>566</v>
      </c>
    </row>
    <row r="20" spans="1:38" ht="16.149999999999999" customHeight="1">
      <c r="B20" s="546"/>
      <c r="W20" s="6" t="s">
        <v>970</v>
      </c>
      <c r="X20" s="90">
        <f>+B$54</f>
        <v>50</v>
      </c>
      <c r="Y20" s="135">
        <f t="shared" si="1"/>
        <v>6.5703022339027597E-2</v>
      </c>
      <c r="Z20" s="90">
        <f>+C$54</f>
        <v>4452.6531578660288</v>
      </c>
      <c r="AA20" s="135">
        <f t="shared" si="2"/>
        <v>1.4640452685365207E-2</v>
      </c>
      <c r="AB20" s="90">
        <f>+D$54</f>
        <v>14020.908681000001</v>
      </c>
      <c r="AC20" s="135">
        <f t="shared" si="3"/>
        <v>1.0272297254411927E-2</v>
      </c>
      <c r="AD20" s="90">
        <f>+T$54</f>
        <v>6080.3970000000008</v>
      </c>
      <c r="AE20" s="135">
        <f t="shared" si="4"/>
        <v>7.0414380447269068E-3</v>
      </c>
      <c r="AI20" s="19" t="s">
        <v>1059</v>
      </c>
      <c r="AJ20" s="33">
        <f>+X27</f>
        <v>12</v>
      </c>
      <c r="AK20" s="186">
        <f>+Time!DL91</f>
        <v>0</v>
      </c>
      <c r="AL20" s="6" t="s">
        <v>567</v>
      </c>
    </row>
    <row r="21" spans="1:38">
      <c r="W21" s="6" t="s">
        <v>1082</v>
      </c>
      <c r="X21" s="90">
        <f>+B$30</f>
        <v>48</v>
      </c>
      <c r="Y21" s="135">
        <f t="shared" si="1"/>
        <v>6.3074901445466486E-2</v>
      </c>
      <c r="Z21" s="90">
        <f>+C$30</f>
        <v>3249.2668343891405</v>
      </c>
      <c r="AA21" s="135">
        <f t="shared" si="2"/>
        <v>1.0683683562229058E-2</v>
      </c>
      <c r="AB21" s="90">
        <f>+D$30</f>
        <v>15746.699999999997</v>
      </c>
      <c r="AC21" s="135">
        <f t="shared" si="3"/>
        <v>1.1536683310351006E-2</v>
      </c>
      <c r="AD21" s="90">
        <f>+T$30</f>
        <v>8548.6229999999996</v>
      </c>
      <c r="AE21" s="135">
        <f t="shared" si="4"/>
        <v>9.8997810870289325E-3</v>
      </c>
      <c r="AI21" s="21" t="s">
        <v>639</v>
      </c>
      <c r="AJ21" s="33">
        <f>+X28</f>
        <v>8</v>
      </c>
      <c r="AK21" s="186">
        <f>+Time!DL109</f>
        <v>0</v>
      </c>
      <c r="AL21" s="6" t="s">
        <v>568</v>
      </c>
    </row>
    <row r="22" spans="1:38">
      <c r="W22" s="8" t="s">
        <v>1734</v>
      </c>
      <c r="X22" s="90">
        <f>+B39</f>
        <v>37</v>
      </c>
      <c r="Y22" s="135">
        <f t="shared" si="1"/>
        <v>4.862023653088042E-2</v>
      </c>
      <c r="Z22" s="90">
        <f>+C39</f>
        <v>13333.126850000001</v>
      </c>
      <c r="AA22" s="135">
        <f t="shared" si="2"/>
        <v>4.383970766969645E-2</v>
      </c>
      <c r="AB22" s="90">
        <f>+D39</f>
        <v>43095.929286999999</v>
      </c>
      <c r="AC22" s="135">
        <f t="shared" si="3"/>
        <v>3.1573859167279505E-2</v>
      </c>
      <c r="AD22" s="90">
        <f>+T39</f>
        <v>17019.642</v>
      </c>
      <c r="AE22" s="135">
        <f t="shared" si="4"/>
        <v>1.97096924241019E-2</v>
      </c>
      <c r="AI22" s="19" t="s">
        <v>1082</v>
      </c>
      <c r="AJ22" s="33">
        <f>+X21</f>
        <v>48</v>
      </c>
      <c r="AK22" s="186">
        <f>+Time!DL93</f>
        <v>0</v>
      </c>
      <c r="AL22" s="6" t="s">
        <v>299</v>
      </c>
    </row>
    <row r="23" spans="1:38">
      <c r="W23" s="8" t="s">
        <v>845</v>
      </c>
      <c r="X23" s="19">
        <f>B$33</f>
        <v>33</v>
      </c>
      <c r="Y23" s="135">
        <f t="shared" si="1"/>
        <v>4.3363994743758211E-2</v>
      </c>
      <c r="Z23" s="90">
        <f>+C$33</f>
        <v>10315.935666666668</v>
      </c>
      <c r="AA23" s="135">
        <f t="shared" si="2"/>
        <v>3.3919095577048523E-2</v>
      </c>
      <c r="AB23" s="90">
        <f>+D$33</f>
        <v>49726.754095000004</v>
      </c>
      <c r="AC23" s="135">
        <f t="shared" si="3"/>
        <v>3.6431875506977032E-2</v>
      </c>
      <c r="AD23" s="90">
        <f>+T$33</f>
        <v>9773.6949999999997</v>
      </c>
      <c r="AE23" s="135">
        <f t="shared" si="4"/>
        <v>1.131848262713062E-2</v>
      </c>
      <c r="AI23" s="19" t="s">
        <v>973</v>
      </c>
      <c r="AJ23" s="33">
        <f>+X32</f>
        <v>5</v>
      </c>
      <c r="AK23" s="186">
        <f>+Time!DL94</f>
        <v>0</v>
      </c>
      <c r="AL23" s="6" t="s">
        <v>394</v>
      </c>
    </row>
    <row r="24" spans="1:38">
      <c r="A24" s="63" t="s">
        <v>324</v>
      </c>
      <c r="E24" s="22"/>
      <c r="I24" s="22"/>
      <c r="W24" s="6" t="s">
        <v>971</v>
      </c>
      <c r="X24" s="90">
        <f>+B$44</f>
        <v>27</v>
      </c>
      <c r="Y24" s="135">
        <f t="shared" si="1"/>
        <v>3.5479632063074903E-2</v>
      </c>
      <c r="Z24" s="90">
        <f>+C$44</f>
        <v>3112.0821666666666</v>
      </c>
      <c r="AA24" s="135">
        <f t="shared" si="2"/>
        <v>1.0232616397161345E-2</v>
      </c>
      <c r="AB24" s="90">
        <f>+D$44</f>
        <v>14158.977845739999</v>
      </c>
      <c r="AC24" s="135">
        <f t="shared" si="3"/>
        <v>1.0373452431593815E-2</v>
      </c>
      <c r="AD24" s="90">
        <f>+T$44</f>
        <v>5952.8650000000007</v>
      </c>
      <c r="AE24" s="135">
        <f t="shared" si="4"/>
        <v>6.8937488927323723E-3</v>
      </c>
      <c r="AI24" s="21" t="s">
        <v>132</v>
      </c>
      <c r="AJ24" s="19">
        <f>+X38</f>
        <v>1</v>
      </c>
      <c r="AK24" s="175">
        <f>+Time!DL95</f>
        <v>0</v>
      </c>
      <c r="AL24" s="6" t="s">
        <v>1</v>
      </c>
    </row>
    <row r="25" spans="1:38">
      <c r="A25" s="36" t="s">
        <v>619</v>
      </c>
      <c r="B25" s="1115" t="s">
        <v>589</v>
      </c>
      <c r="C25" s="1116"/>
      <c r="D25" s="1117"/>
      <c r="E25" s="1115" t="s">
        <v>587</v>
      </c>
      <c r="F25" s="1116"/>
      <c r="G25" s="1117"/>
      <c r="H25" s="1115" t="s">
        <v>620</v>
      </c>
      <c r="I25" s="1116"/>
      <c r="J25" s="1117"/>
      <c r="K25" s="1115" t="s">
        <v>2396</v>
      </c>
      <c r="L25" s="1116"/>
      <c r="M25" s="1117"/>
      <c r="N25" s="1115" t="s">
        <v>2397</v>
      </c>
      <c r="O25" s="1116"/>
      <c r="P25" s="1117"/>
      <c r="Q25" s="1115" t="s">
        <v>2527</v>
      </c>
      <c r="R25" s="1117"/>
      <c r="S25" s="1115" t="s">
        <v>2393</v>
      </c>
      <c r="T25" s="1117"/>
      <c r="U25" s="84"/>
      <c r="W25" s="8" t="s">
        <v>1588</v>
      </c>
      <c r="X25" s="90">
        <f>+B$40</f>
        <v>24</v>
      </c>
      <c r="Y25" s="135">
        <f t="shared" si="1"/>
        <v>3.1537450722733243E-2</v>
      </c>
      <c r="Z25" s="90">
        <f>+C$40</f>
        <v>10394.485219999999</v>
      </c>
      <c r="AA25" s="135">
        <f t="shared" si="2"/>
        <v>3.4177368785910885E-2</v>
      </c>
      <c r="AB25" s="90">
        <f>+D$40</f>
        <v>41289.672584</v>
      </c>
      <c r="AC25" s="135">
        <f t="shared" si="3"/>
        <v>3.0250520844982785E-2</v>
      </c>
      <c r="AD25" s="90">
        <f>+T$40</f>
        <v>24854.386999999999</v>
      </c>
      <c r="AE25" s="135">
        <f t="shared" si="4"/>
        <v>2.8782763066320476E-2</v>
      </c>
      <c r="AI25" s="21" t="s">
        <v>845</v>
      </c>
      <c r="AJ25" s="33">
        <f>+X23</f>
        <v>33</v>
      </c>
      <c r="AK25" s="186">
        <f>+Time!DL96</f>
        <v>0</v>
      </c>
      <c r="AL25" s="6" t="s">
        <v>395</v>
      </c>
    </row>
    <row r="26" spans="1:38">
      <c r="A26" s="7" t="s">
        <v>705</v>
      </c>
      <c r="B26" s="35" t="s">
        <v>1402</v>
      </c>
      <c r="C26" s="48" t="s">
        <v>1497</v>
      </c>
      <c r="D26" s="48" t="s">
        <v>622</v>
      </c>
      <c r="E26" s="35" t="s">
        <v>1402</v>
      </c>
      <c r="F26" s="48" t="s">
        <v>1497</v>
      </c>
      <c r="G26" s="48" t="s">
        <v>622</v>
      </c>
      <c r="H26" s="197" t="s">
        <v>1402</v>
      </c>
      <c r="I26" s="35" t="s">
        <v>1497</v>
      </c>
      <c r="J26" s="48" t="s">
        <v>622</v>
      </c>
      <c r="K26" s="18" t="s">
        <v>1402</v>
      </c>
      <c r="L26" s="18" t="s">
        <v>2394</v>
      </c>
      <c r="M26" s="534" t="s">
        <v>2395</v>
      </c>
      <c r="N26" s="18" t="s">
        <v>1402</v>
      </c>
      <c r="O26" s="18" t="s">
        <v>319</v>
      </c>
      <c r="P26" s="534" t="s">
        <v>2395</v>
      </c>
      <c r="Q26" s="18" t="s">
        <v>1402</v>
      </c>
      <c r="R26" s="18" t="s">
        <v>319</v>
      </c>
      <c r="S26" s="18" t="s">
        <v>1402</v>
      </c>
      <c r="T26" s="914" t="s">
        <v>319</v>
      </c>
      <c r="U26" s="930"/>
      <c r="W26" s="8" t="s">
        <v>967</v>
      </c>
      <c r="X26" s="90">
        <f>+B$38</f>
        <v>14</v>
      </c>
      <c r="Y26" s="135">
        <f t="shared" si="1"/>
        <v>1.8396846254927726E-2</v>
      </c>
      <c r="Z26" s="90">
        <f>+C$38</f>
        <v>1907.0639999999999</v>
      </c>
      <c r="AA26" s="135">
        <f t="shared" si="2"/>
        <v>6.2704817263027823E-3</v>
      </c>
      <c r="AB26" s="90">
        <f>+D$38</f>
        <v>9336.5014239999982</v>
      </c>
      <c r="AC26" s="135">
        <f t="shared" si="3"/>
        <v>6.8403068678090781E-3</v>
      </c>
      <c r="AD26" s="90">
        <f>+T38</f>
        <v>13953.064</v>
      </c>
      <c r="AE26" s="135">
        <f t="shared" si="4"/>
        <v>1.6158424472959478E-2</v>
      </c>
      <c r="AI26" s="21" t="s">
        <v>681</v>
      </c>
      <c r="AJ26" s="33">
        <f>+X18</f>
        <v>56</v>
      </c>
      <c r="AK26" s="186">
        <f>+Time!DL97</f>
        <v>0</v>
      </c>
      <c r="AL26" s="6" t="s">
        <v>633</v>
      </c>
    </row>
    <row r="27" spans="1:38">
      <c r="A27" s="21" t="s">
        <v>1586</v>
      </c>
      <c r="B27" s="6">
        <v>2</v>
      </c>
      <c r="C27" s="33">
        <v>435.78800000000001</v>
      </c>
      <c r="D27" s="33">
        <v>2178.94</v>
      </c>
      <c r="E27" s="6">
        <v>2</v>
      </c>
      <c r="F27" s="33">
        <v>435.78800000000001</v>
      </c>
      <c r="G27" s="33">
        <v>2178.94</v>
      </c>
      <c r="H27" s="5">
        <v>0</v>
      </c>
      <c r="I27" s="31">
        <v>0</v>
      </c>
      <c r="J27" s="73">
        <v>0</v>
      </c>
      <c r="K27" s="5">
        <v>1</v>
      </c>
      <c r="L27" s="33">
        <v>4557.4979999999996</v>
      </c>
      <c r="M27" s="162">
        <v>2.8636134522930083</v>
      </c>
      <c r="N27" s="5"/>
      <c r="O27" s="33"/>
      <c r="P27" s="162"/>
      <c r="Q27" s="74"/>
      <c r="R27" s="5"/>
      <c r="S27" s="151">
        <f>+K27+N27+Q27</f>
        <v>1</v>
      </c>
      <c r="T27" s="151">
        <f>+L27+O27+R27</f>
        <v>4557.4979999999996</v>
      </c>
      <c r="U27" s="94"/>
      <c r="W27" s="6" t="s">
        <v>1059</v>
      </c>
      <c r="X27" s="90">
        <f>B$28</f>
        <v>12</v>
      </c>
      <c r="Y27" s="91">
        <f t="shared" si="1"/>
        <v>1.5768725361366621E-2</v>
      </c>
      <c r="Z27" s="90">
        <f>C$28</f>
        <v>5644.9294800000007</v>
      </c>
      <c r="AA27" s="91">
        <f t="shared" si="2"/>
        <v>1.8560691801957289E-2</v>
      </c>
      <c r="AB27" s="90">
        <f>+D$28</f>
        <v>28224.647400000002</v>
      </c>
      <c r="AC27" s="91">
        <f t="shared" si="3"/>
        <v>2.0678543351948155E-2</v>
      </c>
      <c r="AD27" s="90">
        <f>T$28</f>
        <v>25602.892000000003</v>
      </c>
      <c r="AE27" s="91">
        <f t="shared" si="4"/>
        <v>2.9649573503808084E-2</v>
      </c>
      <c r="AI27" s="19" t="s">
        <v>966</v>
      </c>
      <c r="AJ27" s="33">
        <f>+X36</f>
        <v>1</v>
      </c>
      <c r="AK27" s="186">
        <f>+Time!DL98</f>
        <v>0</v>
      </c>
      <c r="AL27" s="6" t="s">
        <v>411</v>
      </c>
    </row>
    <row r="28" spans="1:38">
      <c r="A28" s="21" t="s">
        <v>1059</v>
      </c>
      <c r="B28" s="6">
        <v>12</v>
      </c>
      <c r="C28" s="33">
        <v>5644.9294800000007</v>
      </c>
      <c r="D28" s="33">
        <v>28224.647400000002</v>
      </c>
      <c r="E28" s="6">
        <v>9</v>
      </c>
      <c r="F28" s="33">
        <v>5532.2010000000009</v>
      </c>
      <c r="G28" s="33">
        <v>27661.005000000001</v>
      </c>
      <c r="H28" s="6">
        <v>3</v>
      </c>
      <c r="I28" s="28">
        <v>112.72847999999999</v>
      </c>
      <c r="J28" s="73">
        <v>563.64239999999995</v>
      </c>
      <c r="K28" s="6">
        <v>8</v>
      </c>
      <c r="L28" s="33">
        <v>25602.892000000003</v>
      </c>
      <c r="M28" s="162">
        <v>0.98426943697933855</v>
      </c>
      <c r="N28" s="6"/>
      <c r="O28" s="33"/>
      <c r="P28" s="162"/>
      <c r="Q28" s="19"/>
      <c r="R28" s="6"/>
      <c r="S28" s="6">
        <f t="shared" ref="S28:S54" si="5">+K28+N28+Q28</f>
        <v>8</v>
      </c>
      <c r="T28" s="33">
        <f t="shared" ref="T28:T54" si="6">+L28+O28+R28</f>
        <v>25602.892000000003</v>
      </c>
      <c r="U28" s="94"/>
      <c r="W28" s="8" t="s">
        <v>639</v>
      </c>
      <c r="X28" s="90">
        <f>+B$46</f>
        <v>8</v>
      </c>
      <c r="Y28" s="135">
        <f t="shared" si="1"/>
        <v>1.0512483574244415E-2</v>
      </c>
      <c r="Z28" s="90">
        <f>+C$46</f>
        <v>824.19259999999997</v>
      </c>
      <c r="AA28" s="135">
        <f t="shared" si="2"/>
        <v>2.7099691658245234E-3</v>
      </c>
      <c r="AB28" s="90">
        <f>+D$46</f>
        <v>3446.1101999999996</v>
      </c>
      <c r="AC28" s="135">
        <f t="shared" si="3"/>
        <v>2.5247627775959645E-3</v>
      </c>
      <c r="AD28" s="90">
        <f>+T$46</f>
        <v>1698.8799999999997</v>
      </c>
      <c r="AE28" s="135">
        <f t="shared" si="4"/>
        <v>1.9673975672025437E-3</v>
      </c>
      <c r="AI28" s="19" t="s">
        <v>1736</v>
      </c>
      <c r="AJ28" s="33">
        <f>+X16</f>
        <v>103</v>
      </c>
      <c r="AK28" s="186">
        <f>+Time!DL99</f>
        <v>0</v>
      </c>
      <c r="AL28" s="6" t="s">
        <v>990</v>
      </c>
    </row>
    <row r="29" spans="1:38">
      <c r="A29" s="136" t="s">
        <v>3656</v>
      </c>
      <c r="B29" s="6">
        <v>1</v>
      </c>
      <c r="C29" s="33">
        <v>156.43799999999999</v>
      </c>
      <c r="D29" s="33">
        <v>560.56899999999996</v>
      </c>
      <c r="E29" s="6">
        <v>0</v>
      </c>
      <c r="F29" s="33">
        <v>0</v>
      </c>
      <c r="G29" s="33">
        <v>0</v>
      </c>
      <c r="H29" s="6">
        <v>1</v>
      </c>
      <c r="I29" s="28">
        <v>156.43799999999999</v>
      </c>
      <c r="J29" s="73">
        <v>560.56899999999996</v>
      </c>
      <c r="K29" s="6"/>
      <c r="L29" s="33"/>
      <c r="M29" s="162"/>
      <c r="N29" s="6">
        <v>1</v>
      </c>
      <c r="O29" s="33">
        <v>519.51199999999994</v>
      </c>
      <c r="P29" s="162">
        <v>1.2202877655282893</v>
      </c>
      <c r="Q29" s="19"/>
      <c r="R29" s="6"/>
      <c r="S29" s="6">
        <f t="shared" si="5"/>
        <v>1</v>
      </c>
      <c r="T29" s="33">
        <f t="shared" si="6"/>
        <v>519.51199999999994</v>
      </c>
      <c r="U29" s="94"/>
      <c r="W29" s="6" t="s">
        <v>753</v>
      </c>
      <c r="X29" s="90">
        <f>+B49</f>
        <v>8</v>
      </c>
      <c r="Y29" s="135">
        <f t="shared" si="1"/>
        <v>1.0512483574244415E-2</v>
      </c>
      <c r="Z29" s="90">
        <f>+C49</f>
        <v>6340.2309999999989</v>
      </c>
      <c r="AA29" s="135">
        <f t="shared" si="2"/>
        <v>2.0846863359613738E-2</v>
      </c>
      <c r="AB29" s="90">
        <f>+D49</f>
        <v>31649.423999999999</v>
      </c>
      <c r="AC29" s="135">
        <f t="shared" si="3"/>
        <v>2.3187676252359075E-2</v>
      </c>
      <c r="AD29" s="90">
        <f>+T49</f>
        <v>30510.652999999998</v>
      </c>
      <c r="AE29" s="91">
        <f t="shared" si="4"/>
        <v>3.5333033814019234E-2</v>
      </c>
      <c r="AI29" s="19" t="s">
        <v>1576</v>
      </c>
      <c r="AJ29" s="33">
        <f>+X30</f>
        <v>7</v>
      </c>
      <c r="AK29" s="186">
        <f>+Time!DL100</f>
        <v>0</v>
      </c>
      <c r="AL29" s="8" t="s">
        <v>991</v>
      </c>
    </row>
    <row r="30" spans="1:38">
      <c r="A30" s="55" t="s">
        <v>1082</v>
      </c>
      <c r="B30" s="483">
        <v>48</v>
      </c>
      <c r="C30" s="33">
        <v>3249.2668343891405</v>
      </c>
      <c r="D30" s="33">
        <v>15746.699999999997</v>
      </c>
      <c r="E30" s="6">
        <v>38</v>
      </c>
      <c r="F30" s="33">
        <v>2679.5274343891406</v>
      </c>
      <c r="G30" s="33">
        <v>13205.553999999998</v>
      </c>
      <c r="H30" s="6">
        <v>10</v>
      </c>
      <c r="I30" s="28">
        <v>569.73939999999993</v>
      </c>
      <c r="J30" s="73">
        <v>2541.1459999999997</v>
      </c>
      <c r="K30" s="6">
        <v>30</v>
      </c>
      <c r="L30" s="33">
        <v>8540.0159999999996</v>
      </c>
      <c r="M30" s="162">
        <v>0.91561583225701593</v>
      </c>
      <c r="N30" s="6"/>
      <c r="O30" s="33"/>
      <c r="P30" s="162"/>
      <c r="Q30" s="19">
        <v>2</v>
      </c>
      <c r="R30" s="33">
        <f>3.65+4.957</f>
        <v>8.6069999999999993</v>
      </c>
      <c r="S30" s="6">
        <f t="shared" si="5"/>
        <v>32</v>
      </c>
      <c r="T30" s="33">
        <f t="shared" si="6"/>
        <v>8548.6229999999996</v>
      </c>
      <c r="U30" s="94"/>
      <c r="W30" s="6" t="s">
        <v>1576</v>
      </c>
      <c r="X30" s="19">
        <f>+B37</f>
        <v>7</v>
      </c>
      <c r="Y30" s="135">
        <f t="shared" si="1"/>
        <v>9.1984231274638631E-3</v>
      </c>
      <c r="Z30" s="90">
        <f>+C37</f>
        <v>2248.2059999999997</v>
      </c>
      <c r="AA30" s="135">
        <f t="shared" si="2"/>
        <v>7.3921665135329873E-3</v>
      </c>
      <c r="AB30" s="90">
        <f>+D37</f>
        <v>11116.971</v>
      </c>
      <c r="AC30" s="135">
        <f t="shared" si="3"/>
        <v>8.144752474953873E-3</v>
      </c>
      <c r="AD30" s="90">
        <f>+T37</f>
        <v>1385.415</v>
      </c>
      <c r="AE30" s="135">
        <f t="shared" si="4"/>
        <v>1.6043876557296055E-3</v>
      </c>
      <c r="AI30" s="21" t="s">
        <v>967</v>
      </c>
      <c r="AJ30" s="33">
        <f>+X26</f>
        <v>14</v>
      </c>
      <c r="AK30" s="186">
        <f>+Time!DL101</f>
        <v>0</v>
      </c>
      <c r="AL30" s="6" t="s">
        <v>412</v>
      </c>
    </row>
    <row r="31" spans="1:38">
      <c r="A31" s="19" t="s">
        <v>973</v>
      </c>
      <c r="B31" s="6">
        <v>5</v>
      </c>
      <c r="C31" s="33">
        <v>1235.3409399141631</v>
      </c>
      <c r="D31" s="33">
        <v>6093.9290000000001</v>
      </c>
      <c r="E31" s="6">
        <v>3</v>
      </c>
      <c r="F31" s="33">
        <v>972.36393991416298</v>
      </c>
      <c r="G31" s="33">
        <v>4820.3879999999999</v>
      </c>
      <c r="H31" s="6">
        <v>2</v>
      </c>
      <c r="I31" s="28">
        <v>262.97700000000003</v>
      </c>
      <c r="J31" s="73">
        <v>1273.5409999999999</v>
      </c>
      <c r="K31" s="6">
        <v>3</v>
      </c>
      <c r="L31" s="33">
        <v>4398.7650000000003</v>
      </c>
      <c r="M31" s="162">
        <v>0.99085126052716355</v>
      </c>
      <c r="N31" s="6">
        <v>1</v>
      </c>
      <c r="O31" s="33">
        <v>18.123000000000001</v>
      </c>
      <c r="P31" s="162">
        <v>0.61156218639360271</v>
      </c>
      <c r="Q31" s="19"/>
      <c r="R31" s="6"/>
      <c r="S31" s="6">
        <f t="shared" si="5"/>
        <v>4</v>
      </c>
      <c r="T31" s="33">
        <f t="shared" si="6"/>
        <v>4416.8879999999999</v>
      </c>
      <c r="U31" s="94"/>
      <c r="W31" s="6" t="s">
        <v>972</v>
      </c>
      <c r="X31" s="90">
        <f>B$42</f>
        <v>5</v>
      </c>
      <c r="Y31" s="135">
        <f t="shared" si="1"/>
        <v>6.5703022339027592E-3</v>
      </c>
      <c r="Z31" s="90">
        <f>C$42</f>
        <v>418.50214999999997</v>
      </c>
      <c r="AA31" s="135">
        <f t="shared" si="2"/>
        <v>1.3760472034464633E-3</v>
      </c>
      <c r="AB31" s="90">
        <f>D$42</f>
        <v>1799.184</v>
      </c>
      <c r="AC31" s="135">
        <f t="shared" si="3"/>
        <v>1.3181565677285127E-3</v>
      </c>
      <c r="AD31" s="90">
        <f>T$42</f>
        <v>1009.894</v>
      </c>
      <c r="AE31" s="91">
        <f t="shared" si="4"/>
        <v>1.1695134434053292E-3</v>
      </c>
      <c r="AI31" s="21" t="s">
        <v>1734</v>
      </c>
      <c r="AJ31" s="33">
        <f>+X22</f>
        <v>37</v>
      </c>
      <c r="AK31" s="186">
        <f>+Time!DL102</f>
        <v>0</v>
      </c>
      <c r="AL31" s="6" t="s">
        <v>413</v>
      </c>
    </row>
    <row r="32" spans="1:38">
      <c r="A32" s="136" t="s">
        <v>2399</v>
      </c>
      <c r="B32" s="6">
        <v>1</v>
      </c>
      <c r="C32" s="33">
        <v>267.72699999999998</v>
      </c>
      <c r="D32" s="33">
        <v>1070.9079999999999</v>
      </c>
      <c r="E32" s="6">
        <v>0</v>
      </c>
      <c r="F32" s="33">
        <v>0</v>
      </c>
      <c r="G32" s="33">
        <v>0</v>
      </c>
      <c r="H32" s="6">
        <v>1</v>
      </c>
      <c r="I32" s="28">
        <v>267.72699999999998</v>
      </c>
      <c r="J32" s="73">
        <v>1070.9079999999999</v>
      </c>
      <c r="K32" s="6"/>
      <c r="L32" s="33"/>
      <c r="M32" s="162"/>
      <c r="N32" s="6"/>
      <c r="O32" s="33"/>
      <c r="P32" s="162"/>
      <c r="Q32" s="19"/>
      <c r="R32" s="6"/>
      <c r="S32" s="6">
        <f t="shared" si="5"/>
        <v>0</v>
      </c>
      <c r="T32" s="33">
        <f t="shared" si="6"/>
        <v>0</v>
      </c>
      <c r="U32" s="94"/>
      <c r="W32" s="6" t="s">
        <v>973</v>
      </c>
      <c r="X32" s="90">
        <f>+B$31</f>
        <v>5</v>
      </c>
      <c r="Y32" s="135">
        <f t="shared" si="1"/>
        <v>6.5703022339027592E-3</v>
      </c>
      <c r="Z32" s="90">
        <f>+C$31</f>
        <v>1235.3409399141631</v>
      </c>
      <c r="AA32" s="135">
        <f t="shared" si="2"/>
        <v>4.0618368284889572E-3</v>
      </c>
      <c r="AB32" s="90">
        <f>+D$31</f>
        <v>6093.9290000000001</v>
      </c>
      <c r="AC32" s="135">
        <f t="shared" si="3"/>
        <v>4.4646642781512322E-3</v>
      </c>
      <c r="AD32" s="90">
        <f>+T$31</f>
        <v>4416.8879999999999</v>
      </c>
      <c r="AE32" s="91">
        <f t="shared" si="4"/>
        <v>5.1150020635984351E-3</v>
      </c>
      <c r="AI32" s="21" t="s">
        <v>1588</v>
      </c>
      <c r="AJ32" s="33">
        <f>+X25</f>
        <v>24</v>
      </c>
      <c r="AK32" s="186">
        <f>+Time!DL103</f>
        <v>0</v>
      </c>
      <c r="AL32" s="6" t="s">
        <v>271</v>
      </c>
    </row>
    <row r="33" spans="1:38" ht="13.5" customHeight="1">
      <c r="A33" s="21" t="s">
        <v>845</v>
      </c>
      <c r="B33" s="2">
        <v>33</v>
      </c>
      <c r="C33" s="33">
        <v>10315.935666666668</v>
      </c>
      <c r="D33" s="33">
        <v>49726.754095000004</v>
      </c>
      <c r="E33" s="2">
        <v>21</v>
      </c>
      <c r="F33" s="33">
        <v>5179.5090666666665</v>
      </c>
      <c r="G33" s="33">
        <v>24531.087500000001</v>
      </c>
      <c r="H33" s="6">
        <v>12</v>
      </c>
      <c r="I33" s="28">
        <v>5136.4266000000007</v>
      </c>
      <c r="J33" s="73">
        <v>25195.666595000002</v>
      </c>
      <c r="K33" s="6">
        <v>18</v>
      </c>
      <c r="L33" s="33">
        <v>3800.6060000000002</v>
      </c>
      <c r="M33" s="162">
        <v>0.24547818447727429</v>
      </c>
      <c r="N33" s="6">
        <v>6</v>
      </c>
      <c r="O33" s="33">
        <v>5973.0889999999999</v>
      </c>
      <c r="P33" s="162">
        <v>0.29273061435711778</v>
      </c>
      <c r="Q33" s="19"/>
      <c r="R33" s="6"/>
      <c r="S33" s="6">
        <f t="shared" si="5"/>
        <v>24</v>
      </c>
      <c r="T33" s="33">
        <f t="shared" si="6"/>
        <v>9773.6949999999997</v>
      </c>
      <c r="U33" s="94"/>
      <c r="W33" s="6" t="s">
        <v>640</v>
      </c>
      <c r="X33" s="90">
        <f>+B$43</f>
        <v>4</v>
      </c>
      <c r="Y33" s="135">
        <f t="shared" si="1"/>
        <v>5.2562417871222077E-3</v>
      </c>
      <c r="Z33" s="90">
        <f>+C$43</f>
        <v>8766.1984631578925</v>
      </c>
      <c r="AA33" s="135">
        <f t="shared" si="2"/>
        <v>2.8823514718108626E-2</v>
      </c>
      <c r="AB33" s="90">
        <f>+D$43</f>
        <v>42589.689999999988</v>
      </c>
      <c r="AC33" s="135">
        <f t="shared" si="3"/>
        <v>3.1202967340206084E-2</v>
      </c>
      <c r="AD33" s="90">
        <f>+T$43</f>
        <v>40116.909</v>
      </c>
      <c r="AE33" s="135">
        <f t="shared" si="4"/>
        <v>4.6457612762694146E-2</v>
      </c>
      <c r="AI33" s="19" t="s">
        <v>1548</v>
      </c>
      <c r="AJ33" s="33">
        <f>+X15</f>
        <v>172</v>
      </c>
      <c r="AK33" s="186">
        <f>+Time!DL104</f>
        <v>0</v>
      </c>
      <c r="AL33" s="6" t="s">
        <v>145</v>
      </c>
    </row>
    <row r="34" spans="1:38">
      <c r="A34" s="21" t="s">
        <v>1467</v>
      </c>
      <c r="B34" s="6">
        <v>56</v>
      </c>
      <c r="C34" s="33">
        <v>16203.600819999996</v>
      </c>
      <c r="D34" s="33">
        <v>83691.231398999997</v>
      </c>
      <c r="E34" s="6">
        <v>47</v>
      </c>
      <c r="F34" s="33">
        <v>14954.629819999996</v>
      </c>
      <c r="G34" s="33">
        <v>77468.840100000001</v>
      </c>
      <c r="H34" s="6">
        <v>9</v>
      </c>
      <c r="I34" s="28">
        <v>1248.971</v>
      </c>
      <c r="J34" s="73">
        <v>6222.391298999999</v>
      </c>
      <c r="K34" s="6">
        <v>39</v>
      </c>
      <c r="L34" s="33">
        <v>60188.472910000011</v>
      </c>
      <c r="M34" s="162">
        <v>1.1766574286765017</v>
      </c>
      <c r="N34" s="6"/>
      <c r="O34" s="33"/>
      <c r="P34" s="162"/>
      <c r="Q34" s="19"/>
      <c r="R34" s="6"/>
      <c r="S34" s="6">
        <f t="shared" si="5"/>
        <v>39</v>
      </c>
      <c r="T34" s="33">
        <f t="shared" si="6"/>
        <v>60188.472910000011</v>
      </c>
      <c r="U34" s="94"/>
      <c r="W34" s="6" t="s">
        <v>1483</v>
      </c>
      <c r="X34" s="90">
        <f>+B$53</f>
        <v>4</v>
      </c>
      <c r="Y34" s="91">
        <f t="shared" si="1"/>
        <v>5.2562417871222077E-3</v>
      </c>
      <c r="Z34" s="90">
        <f>+C$53</f>
        <v>1844.7267999999999</v>
      </c>
      <c r="AA34" s="91">
        <f t="shared" si="2"/>
        <v>6.0655152052689412E-3</v>
      </c>
      <c r="AB34" s="90">
        <f>+D$53</f>
        <v>9223.634</v>
      </c>
      <c r="AC34" s="91">
        <f t="shared" si="3"/>
        <v>6.7576155276080777E-3</v>
      </c>
      <c r="AD34" s="90">
        <f>+T$53</f>
        <v>0</v>
      </c>
      <c r="AE34" s="91">
        <f t="shared" si="4"/>
        <v>0</v>
      </c>
      <c r="AI34" s="19" t="s">
        <v>972</v>
      </c>
      <c r="AJ34" s="33">
        <f>+X31</f>
        <v>5</v>
      </c>
      <c r="AK34" s="186">
        <f>+Time!DL105</f>
        <v>0</v>
      </c>
      <c r="AL34" s="6" t="s">
        <v>415</v>
      </c>
    </row>
    <row r="35" spans="1:38">
      <c r="A35" s="19" t="s">
        <v>910</v>
      </c>
      <c r="B35" s="6">
        <v>1</v>
      </c>
      <c r="C35" s="33">
        <v>698.52800000000002</v>
      </c>
      <c r="D35" s="33">
        <v>3492.6400000000003</v>
      </c>
      <c r="E35" s="6">
        <v>1</v>
      </c>
      <c r="F35" s="33">
        <v>698.52800000000002</v>
      </c>
      <c r="G35" s="33">
        <v>3492.6400000000003</v>
      </c>
      <c r="H35" s="6">
        <v>0</v>
      </c>
      <c r="I35" s="28">
        <v>0</v>
      </c>
      <c r="J35" s="73">
        <v>0</v>
      </c>
      <c r="K35" s="6">
        <v>1</v>
      </c>
      <c r="L35" s="33">
        <v>2694.547</v>
      </c>
      <c r="M35" s="162">
        <v>3.0087038178439989</v>
      </c>
      <c r="N35" s="6"/>
      <c r="O35" s="33"/>
      <c r="P35" s="162"/>
      <c r="Q35" s="19">
        <v>1</v>
      </c>
      <c r="R35" s="33">
        <v>3.26</v>
      </c>
      <c r="S35" s="6">
        <f t="shared" si="5"/>
        <v>2</v>
      </c>
      <c r="T35" s="33">
        <f t="shared" si="6"/>
        <v>2697.8070000000002</v>
      </c>
      <c r="U35" s="94"/>
      <c r="W35" s="8" t="s">
        <v>880</v>
      </c>
      <c r="X35" s="19">
        <f>+B27+B50</f>
        <v>2</v>
      </c>
      <c r="Y35" s="135">
        <f t="shared" si="1"/>
        <v>2.6281208935611039E-3</v>
      </c>
      <c r="Z35" s="90">
        <f>+C27+C50</f>
        <v>435.78800000000001</v>
      </c>
      <c r="AA35" s="135">
        <f t="shared" si="2"/>
        <v>1.4328835794404579E-3</v>
      </c>
      <c r="AB35" s="90">
        <f>+D27+D50</f>
        <v>2178.94</v>
      </c>
      <c r="AC35" s="135">
        <f t="shared" si="3"/>
        <v>1.5963815105549878E-3</v>
      </c>
      <c r="AD35" s="90">
        <f>+T27+T50</f>
        <v>4557.4979999999996</v>
      </c>
      <c r="AE35" s="91">
        <f t="shared" si="4"/>
        <v>5.2778362672645856E-3</v>
      </c>
      <c r="AI35" s="19" t="s">
        <v>640</v>
      </c>
      <c r="AJ35" s="33">
        <f>+X33</f>
        <v>4</v>
      </c>
      <c r="AK35" s="186">
        <f>+Time!DL106</f>
        <v>0</v>
      </c>
      <c r="AL35" s="6" t="s">
        <v>426</v>
      </c>
    </row>
    <row r="36" spans="1:38">
      <c r="A36" s="19" t="s">
        <v>911</v>
      </c>
      <c r="B36" s="6">
        <v>103</v>
      </c>
      <c r="C36" s="33">
        <v>43167.983383950181</v>
      </c>
      <c r="D36" s="33">
        <v>199703.31153800007</v>
      </c>
      <c r="E36" s="6">
        <v>78</v>
      </c>
      <c r="F36" s="33">
        <v>32918.016506172404</v>
      </c>
      <c r="G36" s="33">
        <v>155494.87800000006</v>
      </c>
      <c r="H36" s="6">
        <v>25</v>
      </c>
      <c r="I36" s="28">
        <v>10249.966877777779</v>
      </c>
      <c r="J36" s="73">
        <v>44208.433538000005</v>
      </c>
      <c r="K36" s="6">
        <v>59</v>
      </c>
      <c r="L36" s="33">
        <v>108474.13840000004</v>
      </c>
      <c r="M36" s="162">
        <v>0.95617656220569736</v>
      </c>
      <c r="N36" s="6">
        <v>4</v>
      </c>
      <c r="O36" s="33">
        <v>3253.8940000000002</v>
      </c>
      <c r="P36" s="162">
        <v>0.62159484425163547</v>
      </c>
      <c r="Q36" s="19">
        <v>1</v>
      </c>
      <c r="R36" s="33">
        <v>34.494999999999997</v>
      </c>
      <c r="S36" s="6">
        <f t="shared" si="5"/>
        <v>64</v>
      </c>
      <c r="T36" s="33">
        <f t="shared" si="6"/>
        <v>111762.52740000004</v>
      </c>
      <c r="U36" s="94"/>
      <c r="W36" s="6" t="s">
        <v>966</v>
      </c>
      <c r="X36" s="90">
        <f>+B$35</f>
        <v>1</v>
      </c>
      <c r="Y36" s="91">
        <f t="shared" si="1"/>
        <v>1.3140604467805519E-3</v>
      </c>
      <c r="Z36" s="90">
        <f>+C$35</f>
        <v>698.52800000000002</v>
      </c>
      <c r="AA36" s="91">
        <f t="shared" si="2"/>
        <v>2.29678031744652E-3</v>
      </c>
      <c r="AB36" s="90">
        <f>+D$35</f>
        <v>3492.6400000000003</v>
      </c>
      <c r="AC36" s="91">
        <f t="shared" si="3"/>
        <v>2.5588524323867448E-3</v>
      </c>
      <c r="AD36" s="90">
        <f>+T$35</f>
        <v>2697.8070000000002</v>
      </c>
      <c r="AE36" s="91">
        <f t="shared" si="4"/>
        <v>3.1242106143941854E-3</v>
      </c>
      <c r="AI36" s="19" t="s">
        <v>971</v>
      </c>
      <c r="AJ36" s="33">
        <f>+X24</f>
        <v>27</v>
      </c>
      <c r="AK36" s="186">
        <f>+Time!DL107</f>
        <v>0</v>
      </c>
      <c r="AL36" s="6" t="s">
        <v>414</v>
      </c>
    </row>
    <row r="37" spans="1:38">
      <c r="A37" s="19" t="s">
        <v>1576</v>
      </c>
      <c r="B37" s="6">
        <v>7</v>
      </c>
      <c r="C37" s="33">
        <v>2248.2059999999997</v>
      </c>
      <c r="D37" s="33">
        <v>11116.971</v>
      </c>
      <c r="E37" s="6">
        <v>6</v>
      </c>
      <c r="F37" s="33">
        <v>2189.89</v>
      </c>
      <c r="G37" s="33">
        <v>10942.022999999999</v>
      </c>
      <c r="H37" s="6">
        <v>1</v>
      </c>
      <c r="I37" s="28">
        <v>58.316000000000003</v>
      </c>
      <c r="J37" s="73">
        <v>174.94800000000001</v>
      </c>
      <c r="K37" s="6">
        <v>3</v>
      </c>
      <c r="L37" s="33">
        <v>1338.722</v>
      </c>
      <c r="M37" s="162">
        <v>0.79073267700297578</v>
      </c>
      <c r="N37" s="6">
        <v>1</v>
      </c>
      <c r="O37" s="33">
        <v>46.692999999999998</v>
      </c>
      <c r="P37" s="162">
        <v>0.40089384349456547</v>
      </c>
      <c r="Q37" s="19"/>
      <c r="R37" s="6"/>
      <c r="S37" s="6">
        <f t="shared" si="5"/>
        <v>4</v>
      </c>
      <c r="T37" s="33">
        <f t="shared" si="6"/>
        <v>1385.415</v>
      </c>
      <c r="U37" s="94"/>
      <c r="W37" s="6" t="s">
        <v>701</v>
      </c>
      <c r="X37" s="90">
        <f>+B$51</f>
        <v>1</v>
      </c>
      <c r="Y37" s="91">
        <f t="shared" si="1"/>
        <v>1.3140604467805519E-3</v>
      </c>
      <c r="Z37" s="90">
        <f>+C$51</f>
        <v>25.635000000000002</v>
      </c>
      <c r="AA37" s="91">
        <f t="shared" si="2"/>
        <v>8.4288623273142302E-5</v>
      </c>
      <c r="AB37" s="90">
        <f>+D$51</f>
        <v>38.067975000000004</v>
      </c>
      <c r="AC37" s="91">
        <f t="shared" si="3"/>
        <v>2.7890172025971124E-5</v>
      </c>
      <c r="AD37" s="90">
        <f>+T$51</f>
        <v>0</v>
      </c>
      <c r="AE37" s="91">
        <f t="shared" si="4"/>
        <v>0</v>
      </c>
      <c r="AI37" s="19" t="s">
        <v>1488</v>
      </c>
      <c r="AJ37" s="33">
        <f>+X17</f>
        <v>83</v>
      </c>
      <c r="AK37" s="186">
        <f>+Time!DL108</f>
        <v>0</v>
      </c>
      <c r="AL37" s="6" t="s">
        <v>146</v>
      </c>
    </row>
    <row r="38" spans="1:38">
      <c r="A38" s="19" t="s">
        <v>719</v>
      </c>
      <c r="B38" s="6">
        <v>14</v>
      </c>
      <c r="C38" s="33">
        <v>1907.0639999999999</v>
      </c>
      <c r="D38" s="33">
        <v>9336.5014239999982</v>
      </c>
      <c r="E38" s="6">
        <v>6</v>
      </c>
      <c r="F38" s="33">
        <v>1637.6369999999999</v>
      </c>
      <c r="G38" s="33">
        <v>8089.9869999999992</v>
      </c>
      <c r="H38" s="6">
        <v>8</v>
      </c>
      <c r="I38" s="28">
        <v>269.42700000000002</v>
      </c>
      <c r="J38" s="73">
        <v>1246.514424</v>
      </c>
      <c r="K38" s="6">
        <v>5</v>
      </c>
      <c r="L38" s="33">
        <v>13919.703</v>
      </c>
      <c r="M38" s="162">
        <v>1.850131770681454</v>
      </c>
      <c r="N38" s="6">
        <v>6</v>
      </c>
      <c r="O38" s="33">
        <v>33.361000000000004</v>
      </c>
      <c r="P38" s="162">
        <v>0.81436041786401225</v>
      </c>
      <c r="Q38" s="19"/>
      <c r="R38" s="6"/>
      <c r="S38" s="6">
        <f t="shared" si="5"/>
        <v>11</v>
      </c>
      <c r="T38" s="33">
        <f t="shared" si="6"/>
        <v>13953.064</v>
      </c>
      <c r="U38" s="94"/>
      <c r="W38" s="6" t="s">
        <v>132</v>
      </c>
      <c r="X38" s="19">
        <f>+B32</f>
        <v>1</v>
      </c>
      <c r="Y38" s="135">
        <f t="shared" si="1"/>
        <v>1.3140604467805519E-3</v>
      </c>
      <c r="Z38" s="90">
        <f>+C32</f>
        <v>267.72699999999998</v>
      </c>
      <c r="AA38" s="135">
        <f t="shared" si="2"/>
        <v>8.8029413860146548E-4</v>
      </c>
      <c r="AB38" s="90">
        <f>+D32</f>
        <v>1070.9079999999999</v>
      </c>
      <c r="AC38" s="135">
        <f t="shared" si="3"/>
        <v>7.8459146681662676E-4</v>
      </c>
      <c r="AD38" s="90">
        <f>+T32</f>
        <v>0</v>
      </c>
      <c r="AE38" s="91">
        <f t="shared" si="4"/>
        <v>0</v>
      </c>
      <c r="AI38" s="19" t="s">
        <v>981</v>
      </c>
      <c r="AJ38" s="33">
        <f>+X19</f>
        <v>55</v>
      </c>
      <c r="AK38" s="186">
        <f>+Time!DL111</f>
        <v>0</v>
      </c>
      <c r="AL38" s="6" t="s">
        <v>517</v>
      </c>
    </row>
    <row r="39" spans="1:38">
      <c r="A39" s="19" t="s">
        <v>1735</v>
      </c>
      <c r="B39" s="6">
        <v>37</v>
      </c>
      <c r="C39" s="33">
        <v>13333.126850000001</v>
      </c>
      <c r="D39" s="33">
        <v>43095.929286999999</v>
      </c>
      <c r="E39" s="6">
        <v>22</v>
      </c>
      <c r="F39" s="33">
        <v>8627.3122500000009</v>
      </c>
      <c r="G39" s="33">
        <v>27938.507999999998</v>
      </c>
      <c r="H39" s="6">
        <v>15</v>
      </c>
      <c r="I39" s="28">
        <v>4705.8145999999997</v>
      </c>
      <c r="J39" s="73">
        <v>15157.421287000003</v>
      </c>
      <c r="K39" s="6">
        <v>15</v>
      </c>
      <c r="L39" s="33">
        <v>16605.927</v>
      </c>
      <c r="M39" s="162">
        <v>0.88929838312490517</v>
      </c>
      <c r="N39" s="6">
        <v>1</v>
      </c>
      <c r="O39" s="33">
        <v>413.71500000000003</v>
      </c>
      <c r="P39" s="162">
        <v>1.084416519869257</v>
      </c>
      <c r="Q39" s="19"/>
      <c r="R39" s="6"/>
      <c r="S39" s="6">
        <f t="shared" si="5"/>
        <v>16</v>
      </c>
      <c r="T39" s="33">
        <f t="shared" si="6"/>
        <v>17019.642</v>
      </c>
      <c r="U39" s="94"/>
      <c r="W39" s="498" t="s">
        <v>3656</v>
      </c>
      <c r="X39" s="19">
        <f>+B29</f>
        <v>1</v>
      </c>
      <c r="Y39" s="91">
        <f t="shared" si="1"/>
        <v>1.3140604467805519E-3</v>
      </c>
      <c r="Z39" s="90">
        <f>+C29</f>
        <v>156.43799999999999</v>
      </c>
      <c r="AA39" s="91">
        <f t="shared" si="2"/>
        <v>5.1437267983631108E-4</v>
      </c>
      <c r="AB39" s="90">
        <f>+D29</f>
        <v>560.56899999999996</v>
      </c>
      <c r="AC39" s="91">
        <f t="shared" si="3"/>
        <v>4.1069602053764624E-4</v>
      </c>
      <c r="AD39" s="90">
        <f>+T29</f>
        <v>519.51199999999994</v>
      </c>
      <c r="AE39" s="91">
        <f t="shared" si="4"/>
        <v>6.0162380211229035E-4</v>
      </c>
      <c r="AI39" s="19" t="s">
        <v>753</v>
      </c>
      <c r="AJ39" s="33">
        <f>+X29</f>
        <v>8</v>
      </c>
      <c r="AK39" s="186">
        <f>+Time!DL112</f>
        <v>0</v>
      </c>
      <c r="AL39" s="6" t="s">
        <v>544</v>
      </c>
    </row>
    <row r="40" spans="1:38">
      <c r="A40" s="21" t="s">
        <v>1588</v>
      </c>
      <c r="B40" s="6">
        <v>24</v>
      </c>
      <c r="C40" s="33">
        <v>10394.485219999999</v>
      </c>
      <c r="D40" s="33">
        <v>41289.672584</v>
      </c>
      <c r="E40" s="6">
        <v>17</v>
      </c>
      <c r="F40" s="33">
        <v>8463.2262199999986</v>
      </c>
      <c r="G40" s="33">
        <v>31807.087833999998</v>
      </c>
      <c r="H40" s="6">
        <v>7</v>
      </c>
      <c r="I40" s="28">
        <v>1931.259</v>
      </c>
      <c r="J40" s="73">
        <v>9482.58475</v>
      </c>
      <c r="K40" s="6">
        <v>15</v>
      </c>
      <c r="L40" s="33">
        <v>24854.386999999999</v>
      </c>
      <c r="M40" s="162">
        <v>1.041225469907163</v>
      </c>
      <c r="N40" s="6"/>
      <c r="O40" s="33"/>
      <c r="P40" s="162"/>
      <c r="Q40" s="19"/>
      <c r="R40" s="6"/>
      <c r="S40" s="6">
        <f t="shared" si="5"/>
        <v>15</v>
      </c>
      <c r="T40" s="33">
        <f t="shared" si="6"/>
        <v>24854.386999999999</v>
      </c>
      <c r="U40" s="94"/>
      <c r="W40" s="498" t="s">
        <v>4048</v>
      </c>
      <c r="X40" s="19">
        <f>+B47</f>
        <v>0</v>
      </c>
      <c r="Y40" s="91">
        <f t="shared" si="1"/>
        <v>0</v>
      </c>
      <c r="Z40" s="90">
        <f>+C47</f>
        <v>0</v>
      </c>
      <c r="AA40" s="91">
        <f t="shared" si="2"/>
        <v>0</v>
      </c>
      <c r="AB40" s="90">
        <f>+D47</f>
        <v>0</v>
      </c>
      <c r="AC40" s="91">
        <f t="shared" si="3"/>
        <v>0</v>
      </c>
      <c r="AD40" s="90">
        <f>+T47</f>
        <v>0</v>
      </c>
      <c r="AE40" s="91">
        <f t="shared" si="4"/>
        <v>0</v>
      </c>
      <c r="AI40" s="19" t="s">
        <v>701</v>
      </c>
      <c r="AJ40" s="33">
        <f>+X37</f>
        <v>1</v>
      </c>
      <c r="AK40" s="186">
        <f>+Time!DL114</f>
        <v>0</v>
      </c>
      <c r="AL40" s="6" t="s">
        <v>545</v>
      </c>
    </row>
    <row r="41" spans="1:38">
      <c r="A41" s="21" t="s">
        <v>720</v>
      </c>
      <c r="B41" s="6">
        <v>172</v>
      </c>
      <c r="C41" s="33">
        <v>137973.38842190476</v>
      </c>
      <c r="D41" s="33">
        <v>628504.2266299997</v>
      </c>
      <c r="E41" s="6">
        <v>131</v>
      </c>
      <c r="F41" s="33">
        <v>114524.46462857143</v>
      </c>
      <c r="G41" s="33">
        <v>519066.98179999978</v>
      </c>
      <c r="H41" s="6">
        <v>41</v>
      </c>
      <c r="I41" s="28">
        <v>23448.923793333335</v>
      </c>
      <c r="J41" s="73">
        <v>109437.24482999998</v>
      </c>
      <c r="K41" s="6">
        <v>113</v>
      </c>
      <c r="L41" s="33">
        <v>432449.64289500006</v>
      </c>
      <c r="M41" s="162">
        <v>1.0588164816079064</v>
      </c>
      <c r="N41" s="6">
        <v>1</v>
      </c>
      <c r="O41" s="33">
        <v>219.70400000000001</v>
      </c>
      <c r="P41" s="162">
        <v>0.96489784193791206</v>
      </c>
      <c r="Q41" s="19"/>
      <c r="R41" s="6"/>
      <c r="S41" s="6">
        <f t="shared" si="5"/>
        <v>114</v>
      </c>
      <c r="T41" s="33">
        <f t="shared" si="6"/>
        <v>432669.34689500008</v>
      </c>
      <c r="U41" s="94"/>
      <c r="W41" s="8" t="s">
        <v>897</v>
      </c>
      <c r="X41" s="90">
        <f>+B$52</f>
        <v>0</v>
      </c>
      <c r="Y41" s="91">
        <f t="shared" si="1"/>
        <v>0</v>
      </c>
      <c r="Z41" s="90">
        <f>+C$52</f>
        <v>0</v>
      </c>
      <c r="AA41" s="91">
        <f t="shared" si="2"/>
        <v>0</v>
      </c>
      <c r="AB41" s="90">
        <f>+D$52</f>
        <v>0</v>
      </c>
      <c r="AC41" s="91">
        <f t="shared" si="3"/>
        <v>0</v>
      </c>
      <c r="AD41" s="90">
        <f>+T$52</f>
        <v>0</v>
      </c>
      <c r="AE41" s="91">
        <f t="shared" si="4"/>
        <v>0</v>
      </c>
      <c r="AI41" s="21" t="s">
        <v>897</v>
      </c>
      <c r="AJ41" s="33">
        <f>+X41</f>
        <v>0</v>
      </c>
      <c r="AK41" s="186">
        <f>+Time!DL115</f>
        <v>0</v>
      </c>
      <c r="AL41" s="6" t="s">
        <v>298</v>
      </c>
    </row>
    <row r="42" spans="1:38">
      <c r="A42" s="19" t="s">
        <v>972</v>
      </c>
      <c r="B42" s="6">
        <v>5</v>
      </c>
      <c r="C42" s="33">
        <v>418.50214999999997</v>
      </c>
      <c r="D42" s="33">
        <v>1799.184</v>
      </c>
      <c r="E42" s="6">
        <v>5</v>
      </c>
      <c r="F42" s="33">
        <v>418.50214999999997</v>
      </c>
      <c r="G42" s="33">
        <v>1799.184</v>
      </c>
      <c r="H42" s="6">
        <v>0</v>
      </c>
      <c r="I42" s="28">
        <v>0</v>
      </c>
      <c r="J42" s="73">
        <v>0</v>
      </c>
      <c r="K42" s="6">
        <v>4</v>
      </c>
      <c r="L42" s="33">
        <v>1009.894</v>
      </c>
      <c r="M42" s="162">
        <v>1.0178643378961811</v>
      </c>
      <c r="N42" s="6"/>
      <c r="O42" s="33"/>
      <c r="P42" s="162"/>
      <c r="Q42" s="19"/>
      <c r="R42" s="6"/>
      <c r="S42" s="6">
        <f t="shared" si="5"/>
        <v>4</v>
      </c>
      <c r="T42" s="33">
        <f t="shared" si="6"/>
        <v>1009.894</v>
      </c>
      <c r="U42" s="94"/>
      <c r="W42" s="38" t="s">
        <v>974</v>
      </c>
      <c r="X42" s="109">
        <f t="shared" ref="X42:AE42" si="7">SUM(X15:X41)</f>
        <v>761</v>
      </c>
      <c r="Y42" s="144">
        <f t="shared" si="7"/>
        <v>1</v>
      </c>
      <c r="Z42" s="109">
        <f t="shared" si="7"/>
        <v>304133.57110992615</v>
      </c>
      <c r="AA42" s="144">
        <f t="shared" si="7"/>
        <v>1</v>
      </c>
      <c r="AB42" s="109">
        <f t="shared" si="7"/>
        <v>1364924.3527272397</v>
      </c>
      <c r="AC42" s="144">
        <f t="shared" si="7"/>
        <v>1</v>
      </c>
      <c r="AD42" s="109">
        <f t="shared" si="7"/>
        <v>863516.36716500018</v>
      </c>
      <c r="AE42" s="144">
        <f t="shared" si="7"/>
        <v>0.99999999999999967</v>
      </c>
      <c r="AI42" s="19" t="s">
        <v>1483</v>
      </c>
      <c r="AJ42" s="33">
        <f>+X34</f>
        <v>4</v>
      </c>
      <c r="AK42" s="186">
        <f>+Time!DL116</f>
        <v>0</v>
      </c>
      <c r="AL42" s="6" t="s">
        <v>300</v>
      </c>
    </row>
    <row r="43" spans="1:38">
      <c r="A43" s="19" t="s">
        <v>640</v>
      </c>
      <c r="B43" s="6">
        <v>4</v>
      </c>
      <c r="C43" s="33">
        <v>8766.1984631578925</v>
      </c>
      <c r="D43" s="33">
        <v>42589.689999999988</v>
      </c>
      <c r="E43" s="6">
        <v>3</v>
      </c>
      <c r="F43" s="33">
        <v>8568.8094631578933</v>
      </c>
      <c r="G43" s="33">
        <v>41800.133999999991</v>
      </c>
      <c r="H43" s="6">
        <v>1</v>
      </c>
      <c r="I43" s="28">
        <v>197.38900000000001</v>
      </c>
      <c r="J43" s="73">
        <v>789.55600000000004</v>
      </c>
      <c r="K43" s="6">
        <v>3</v>
      </c>
      <c r="L43" s="33">
        <v>40116.909</v>
      </c>
      <c r="M43" s="162">
        <v>1.0294352858741762</v>
      </c>
      <c r="N43" s="6"/>
      <c r="O43" s="33"/>
      <c r="P43" s="162"/>
      <c r="Q43" s="19"/>
      <c r="R43" s="6"/>
      <c r="S43" s="6">
        <f t="shared" si="5"/>
        <v>3</v>
      </c>
      <c r="T43" s="33">
        <f t="shared" si="6"/>
        <v>40116.909</v>
      </c>
      <c r="U43" s="94"/>
      <c r="W43" s="5" t="s">
        <v>1363</v>
      </c>
      <c r="X43" s="88">
        <f>+X33+X19+X29</f>
        <v>67</v>
      </c>
      <c r="Y43" s="89">
        <f t="shared" ref="Y43:Y48" si="8">+X43/X$42</f>
        <v>8.8042049934296984E-2</v>
      </c>
      <c r="Z43" s="88">
        <f>+Z33+Z19+Z29</f>
        <v>41707.920357160132</v>
      </c>
      <c r="AA43" s="89">
        <f t="shared" ref="AA43:AA48" si="9">+Z43/Z$42</f>
        <v>0.13713685143323165</v>
      </c>
      <c r="AB43" s="88">
        <f>+AB33+AB19+AB29</f>
        <v>178238.57070749998</v>
      </c>
      <c r="AC43" s="89">
        <f t="shared" ref="AC43:AC48" si="10">+AB43/AB$42</f>
        <v>0.1305849443973679</v>
      </c>
      <c r="AD43" s="88">
        <f>+AD33+AD19+AD29</f>
        <v>127925.05745999998</v>
      </c>
      <c r="AE43" s="89">
        <f t="shared" ref="AE43:AE48" si="11">+AD43/AD$42</f>
        <v>0.14814433440328312</v>
      </c>
      <c r="AI43" s="19" t="s">
        <v>970</v>
      </c>
      <c r="AJ43" s="33">
        <f>+X20</f>
        <v>50</v>
      </c>
      <c r="AK43" s="186">
        <f>+Time!DL117</f>
        <v>0</v>
      </c>
      <c r="AL43" s="6" t="s">
        <v>301</v>
      </c>
    </row>
    <row r="44" spans="1:38">
      <c r="A44" s="19" t="s">
        <v>971</v>
      </c>
      <c r="B44" s="6">
        <v>27</v>
      </c>
      <c r="C44" s="33">
        <v>3112.0821666666666</v>
      </c>
      <c r="D44" s="33">
        <v>14158.977845739999</v>
      </c>
      <c r="E44" s="6">
        <v>19</v>
      </c>
      <c r="F44" s="33">
        <v>2378.6423666666665</v>
      </c>
      <c r="G44" s="33">
        <v>11061.749</v>
      </c>
      <c r="H44" s="6">
        <v>8</v>
      </c>
      <c r="I44" s="28">
        <v>733.43979999999999</v>
      </c>
      <c r="J44" s="73">
        <v>3097.22884574</v>
      </c>
      <c r="K44" s="6">
        <v>14</v>
      </c>
      <c r="L44" s="33">
        <v>5854.6850000000004</v>
      </c>
      <c r="M44" s="162">
        <v>0.6823643367139216</v>
      </c>
      <c r="N44" s="6">
        <v>1</v>
      </c>
      <c r="O44" s="33">
        <v>98.18</v>
      </c>
      <c r="P44" s="162">
        <v>0.27953812625772295</v>
      </c>
      <c r="Q44" s="19"/>
      <c r="R44" s="6"/>
      <c r="S44" s="6">
        <f t="shared" si="5"/>
        <v>15</v>
      </c>
      <c r="T44" s="33">
        <f t="shared" si="6"/>
        <v>5952.8650000000007</v>
      </c>
      <c r="U44" s="94"/>
      <c r="W44" s="8" t="s">
        <v>3936</v>
      </c>
      <c r="X44" s="90">
        <f>X17+X27+X15+X32+X23+X38</f>
        <v>306</v>
      </c>
      <c r="Y44" s="91">
        <f t="shared" si="8"/>
        <v>0.40210249671484888</v>
      </c>
      <c r="Z44" s="90">
        <f>Z17+Z27+Z15+Z32+Z23+Z38</f>
        <v>159953.371769894</v>
      </c>
      <c r="AA44" s="91">
        <f t="shared" si="9"/>
        <v>0.52593132414205068</v>
      </c>
      <c r="AB44" s="90">
        <f>AB17+AB27+AB15+AB32+AB23+AB38</f>
        <v>733786.43308599968</v>
      </c>
      <c r="AC44" s="91">
        <f t="shared" si="10"/>
        <v>0.53760227196461796</v>
      </c>
      <c r="AD44" s="90">
        <f>AD17+AD27+AD15+AD32+AD23+AD38</f>
        <v>475362.32539500005</v>
      </c>
      <c r="AE44" s="91">
        <f t="shared" si="11"/>
        <v>0.55049602239232154</v>
      </c>
      <c r="AI44" s="129" t="s">
        <v>974</v>
      </c>
      <c r="AJ44" s="96">
        <f>SUM(AJ19:AJ43)</f>
        <v>760</v>
      </c>
      <c r="AK44" s="96">
        <f>SUM(AK19:AK43)</f>
        <v>0</v>
      </c>
      <c r="AL44" s="10"/>
    </row>
    <row r="45" spans="1:38">
      <c r="A45" s="19" t="s">
        <v>1488</v>
      </c>
      <c r="B45" s="6">
        <v>83</v>
      </c>
      <c r="C45" s="33">
        <v>4516.050261408398</v>
      </c>
      <c r="D45" s="33">
        <v>20165.967961000002</v>
      </c>
      <c r="E45" s="6">
        <v>63</v>
      </c>
      <c r="F45" s="33">
        <v>1475.3232940170938</v>
      </c>
      <c r="G45" s="33">
        <v>6647.4390000000003</v>
      </c>
      <c r="H45" s="6">
        <v>20</v>
      </c>
      <c r="I45" s="28">
        <v>3040.7269673913042</v>
      </c>
      <c r="J45" s="73">
        <v>13518.528961000004</v>
      </c>
      <c r="K45" s="6">
        <v>58</v>
      </c>
      <c r="L45" s="33">
        <v>2579.2004999999999</v>
      </c>
      <c r="M45" s="162">
        <v>0.92109423888035913</v>
      </c>
      <c r="N45" s="6">
        <v>3</v>
      </c>
      <c r="O45" s="33">
        <v>320.303</v>
      </c>
      <c r="P45" s="162">
        <v>0.46498979469853646</v>
      </c>
      <c r="Q45" s="19"/>
      <c r="R45" s="6"/>
      <c r="S45" s="6">
        <f t="shared" si="5"/>
        <v>61</v>
      </c>
      <c r="T45" s="33">
        <f t="shared" si="6"/>
        <v>2899.5034999999998</v>
      </c>
      <c r="U45" s="94"/>
      <c r="W45" s="6" t="s">
        <v>686</v>
      </c>
      <c r="X45" s="90">
        <f>X21+X24+X28+X20+X31+X37+X40+X41</f>
        <v>139</v>
      </c>
      <c r="Y45" s="91">
        <f t="shared" si="8"/>
        <v>0.18265440210249673</v>
      </c>
      <c r="Z45" s="90">
        <f>Z21+Z24+Z28+Z20+Z31+Z37+Z40+Z41</f>
        <v>12082.331908921837</v>
      </c>
      <c r="AA45" s="91">
        <f t="shared" si="9"/>
        <v>3.9727057637299744E-2</v>
      </c>
      <c r="AB45" s="90">
        <f>AB21+AB24+AB28+AB20+AB31+AB37+AB40+AB41</f>
        <v>49209.948701739995</v>
      </c>
      <c r="AC45" s="91">
        <f t="shared" si="10"/>
        <v>3.6053242513707194E-2</v>
      </c>
      <c r="AD45" s="90">
        <f>AD21+AD24+AD28+AD20+AD31+AD37+AD40+AD41</f>
        <v>23290.659</v>
      </c>
      <c r="AE45" s="91">
        <f t="shared" si="11"/>
        <v>2.6971879035096083E-2</v>
      </c>
      <c r="AI45" s="19" t="s">
        <v>723</v>
      </c>
      <c r="AJ45" s="90">
        <f>+AJ35+AJ38+AJ39</f>
        <v>67</v>
      </c>
      <c r="AK45" s="33">
        <f>+AK35+AK38+AK39</f>
        <v>0</v>
      </c>
      <c r="AL45" s="5" t="s">
        <v>1482</v>
      </c>
    </row>
    <row r="46" spans="1:38">
      <c r="A46" s="219" t="s">
        <v>3238</v>
      </c>
      <c r="B46" s="6">
        <v>8</v>
      </c>
      <c r="C46" s="33">
        <v>824.19259999999997</v>
      </c>
      <c r="D46" s="33">
        <v>3446.1101999999996</v>
      </c>
      <c r="E46" s="6">
        <v>7</v>
      </c>
      <c r="F46" s="33">
        <v>751.75059999999996</v>
      </c>
      <c r="G46" s="33">
        <v>3330.2029999999995</v>
      </c>
      <c r="H46" s="6">
        <v>1</v>
      </c>
      <c r="I46" s="28">
        <v>72.441999999999993</v>
      </c>
      <c r="J46" s="73">
        <v>115.90719999999999</v>
      </c>
      <c r="K46" s="6">
        <v>6</v>
      </c>
      <c r="L46" s="33">
        <v>1698.8799999999997</v>
      </c>
      <c r="M46" s="162">
        <v>0.67286482538946835</v>
      </c>
      <c r="N46" s="6"/>
      <c r="O46" s="33"/>
      <c r="P46" s="162"/>
      <c r="Q46" s="19"/>
      <c r="R46" s="6"/>
      <c r="S46" s="6">
        <f>+K46+N46+Q46</f>
        <v>6</v>
      </c>
      <c r="T46" s="33">
        <f>+L46+O46+R46</f>
        <v>1698.8799999999997</v>
      </c>
      <c r="U46" s="94"/>
      <c r="W46" s="6" t="s">
        <v>889</v>
      </c>
      <c r="X46" s="90">
        <f>+X16+X26+X22+X30+X34+X18+X36</f>
        <v>222</v>
      </c>
      <c r="Y46" s="91">
        <f t="shared" si="8"/>
        <v>0.29172141918528255</v>
      </c>
      <c r="Z46" s="90">
        <f>+Z16+Z26+Z22+Z30+Z34+Z18+Z36</f>
        <v>79403.235853950173</v>
      </c>
      <c r="AA46" s="91">
        <f t="shared" si="9"/>
        <v>0.26108014174223021</v>
      </c>
      <c r="AB46" s="90">
        <f>+AB16+AB26+AB22+AB30+AB34+AB18+AB36</f>
        <v>359660.2186480001</v>
      </c>
      <c r="AC46" s="91">
        <f t="shared" si="10"/>
        <v>0.26350194274823152</v>
      </c>
      <c r="AD46" s="90">
        <f>+AD16+AD26+AD22+AD30+AD34+AD18+AD36</f>
        <v>207006.92831000005</v>
      </c>
      <c r="AE46" s="91">
        <f t="shared" si="11"/>
        <v>0.23972554103360186</v>
      </c>
      <c r="AI46" s="21" t="s">
        <v>3937</v>
      </c>
      <c r="AJ46" s="174">
        <f>AJ37+AJ20+AJ33+AJ23+AJ25+AJ24</f>
        <v>306</v>
      </c>
      <c r="AK46" s="175">
        <f>AK37+AK20+AK33+AK23+AK25+AK24</f>
        <v>0</v>
      </c>
      <c r="AL46" s="6" t="s">
        <v>302</v>
      </c>
    </row>
    <row r="47" spans="1:38">
      <c r="A47" s="219" t="s">
        <v>4048</v>
      </c>
      <c r="B47" s="6">
        <v>0</v>
      </c>
      <c r="C47" s="33">
        <v>0</v>
      </c>
      <c r="D47" s="33">
        <v>0</v>
      </c>
      <c r="E47" s="6">
        <v>0</v>
      </c>
      <c r="F47" s="33">
        <v>0</v>
      </c>
      <c r="G47" s="33">
        <v>0</v>
      </c>
      <c r="H47" s="6">
        <v>0</v>
      </c>
      <c r="I47" s="28">
        <v>0</v>
      </c>
      <c r="J47" s="73">
        <v>0</v>
      </c>
      <c r="K47" s="6"/>
      <c r="L47" s="33"/>
      <c r="M47" s="162"/>
      <c r="N47" s="6"/>
      <c r="O47" s="33"/>
      <c r="P47" s="162"/>
      <c r="Q47" s="19"/>
      <c r="R47" s="6"/>
      <c r="S47" s="6">
        <f>+K47+N47+Q47</f>
        <v>0</v>
      </c>
      <c r="T47" s="33">
        <f>+L47+O47+R47</f>
        <v>0</v>
      </c>
      <c r="U47" s="94"/>
      <c r="W47" s="8" t="s">
        <v>1329</v>
      </c>
      <c r="X47" s="90">
        <f>+X25</f>
        <v>24</v>
      </c>
      <c r="Y47" s="91">
        <f t="shared" si="8"/>
        <v>3.1537450722733243E-2</v>
      </c>
      <c r="Z47" s="90">
        <f>+Z25</f>
        <v>10394.485219999999</v>
      </c>
      <c r="AA47" s="91">
        <f t="shared" si="9"/>
        <v>3.4177368785910885E-2</v>
      </c>
      <c r="AB47" s="90">
        <f>+AB25</f>
        <v>41289.672584</v>
      </c>
      <c r="AC47" s="91">
        <f t="shared" si="10"/>
        <v>3.0250520844982785E-2</v>
      </c>
      <c r="AD47" s="90">
        <f>+AD25</f>
        <v>24854.386999999999</v>
      </c>
      <c r="AE47" s="91">
        <f t="shared" si="11"/>
        <v>2.8782763066320476E-2</v>
      </c>
      <c r="AI47" s="19" t="s">
        <v>686</v>
      </c>
      <c r="AJ47" s="174">
        <f>AJ22+AJ36+AJ21+AJ43+AJ34+AJ40+AJ41</f>
        <v>139</v>
      </c>
      <c r="AK47" s="175">
        <f>AK22+AK36+AK21+AK43+AK34+AK40+AK41</f>
        <v>0</v>
      </c>
      <c r="AL47" s="6" t="s">
        <v>312</v>
      </c>
    </row>
    <row r="48" spans="1:38">
      <c r="A48" s="19" t="s">
        <v>981</v>
      </c>
      <c r="B48" s="6">
        <v>55</v>
      </c>
      <c r="C48" s="33">
        <v>26601.49089400224</v>
      </c>
      <c r="D48" s="33">
        <v>103999.45670750001</v>
      </c>
      <c r="E48" s="6">
        <v>40</v>
      </c>
      <c r="F48" s="33">
        <v>14038.41929400224</v>
      </c>
      <c r="G48" s="33">
        <v>52501.010299000001</v>
      </c>
      <c r="H48" s="6">
        <v>15</v>
      </c>
      <c r="I48" s="28">
        <v>12563.071599999999</v>
      </c>
      <c r="J48" s="73">
        <v>51498.446408500007</v>
      </c>
      <c r="K48" s="6">
        <v>31</v>
      </c>
      <c r="L48" s="33">
        <v>43643.009460000001</v>
      </c>
      <c r="M48" s="162">
        <v>0.95786261263548234</v>
      </c>
      <c r="N48" s="6">
        <v>5</v>
      </c>
      <c r="O48" s="33">
        <v>13654.485999999999</v>
      </c>
      <c r="P48" s="162">
        <v>0.98016559780852064</v>
      </c>
      <c r="Q48" s="19"/>
      <c r="R48" s="6"/>
      <c r="S48" s="6">
        <f t="shared" si="5"/>
        <v>36</v>
      </c>
      <c r="T48" s="33">
        <f t="shared" si="6"/>
        <v>57297.495459999998</v>
      </c>
      <c r="U48" s="94"/>
      <c r="W48" s="485" t="s">
        <v>4047</v>
      </c>
      <c r="X48" s="20">
        <f>+X35+X39</f>
        <v>3</v>
      </c>
      <c r="Y48" s="237">
        <f t="shared" si="8"/>
        <v>3.9421813403416554E-3</v>
      </c>
      <c r="Z48" s="47">
        <f>+Z35+Z39</f>
        <v>592.226</v>
      </c>
      <c r="AA48" s="237">
        <f t="shared" si="9"/>
        <v>1.947256259276769E-3</v>
      </c>
      <c r="AB48" s="47">
        <f>+AB35+AB39</f>
        <v>2739.509</v>
      </c>
      <c r="AC48" s="237">
        <f t="shared" si="10"/>
        <v>2.0070775310926342E-3</v>
      </c>
      <c r="AD48" s="47">
        <f>+AD35+AD39</f>
        <v>5077.0099999999993</v>
      </c>
      <c r="AE48" s="27">
        <f t="shared" si="11"/>
        <v>5.8794600693768753E-3</v>
      </c>
      <c r="AI48" s="19" t="s">
        <v>889</v>
      </c>
      <c r="AJ48" s="174">
        <f>+AJ28+AJ30+AJ31+AJ42+AJ26+AJ27+AJ29</f>
        <v>222</v>
      </c>
      <c r="AK48" s="175">
        <f>+AK28+AK30+AK31+AK42+AK26+AK27+AK29</f>
        <v>0</v>
      </c>
      <c r="AL48" s="6" t="s">
        <v>313</v>
      </c>
    </row>
    <row r="49" spans="1:38">
      <c r="A49" s="136" t="s">
        <v>2318</v>
      </c>
      <c r="B49" s="41">
        <v>8</v>
      </c>
      <c r="C49" s="33">
        <v>6340.2309999999989</v>
      </c>
      <c r="D49" s="33">
        <v>31649.423999999999</v>
      </c>
      <c r="E49" s="41">
        <v>7</v>
      </c>
      <c r="F49" s="33">
        <v>6107.2077999999992</v>
      </c>
      <c r="G49" s="33">
        <v>30484.307999999997</v>
      </c>
      <c r="H49" s="6">
        <v>1</v>
      </c>
      <c r="I49" s="28">
        <v>233.0232</v>
      </c>
      <c r="J49" s="73">
        <v>1165.116</v>
      </c>
      <c r="K49" s="6">
        <v>7</v>
      </c>
      <c r="L49" s="33">
        <v>30510.652999999998</v>
      </c>
      <c r="M49" s="162">
        <v>1.0275203163952813</v>
      </c>
      <c r="N49" s="6"/>
      <c r="O49" s="33"/>
      <c r="P49" s="162"/>
      <c r="Q49" s="19"/>
      <c r="R49" s="6"/>
      <c r="S49" s="6">
        <f t="shared" si="5"/>
        <v>7</v>
      </c>
      <c r="T49" s="33">
        <f t="shared" si="6"/>
        <v>30510.652999999998</v>
      </c>
      <c r="U49" s="94"/>
      <c r="AI49" s="21" t="s">
        <v>1329</v>
      </c>
      <c r="AJ49" s="174">
        <f>+AJ32</f>
        <v>24</v>
      </c>
      <c r="AK49" s="175">
        <f>+AK32</f>
        <v>0</v>
      </c>
      <c r="AL49" s="6" t="s">
        <v>1588</v>
      </c>
    </row>
    <row r="50" spans="1:38">
      <c r="A50" s="19" t="s">
        <v>1585</v>
      </c>
      <c r="B50" s="6">
        <v>0</v>
      </c>
      <c r="C50" s="33">
        <v>0</v>
      </c>
      <c r="D50" s="33">
        <v>0</v>
      </c>
      <c r="E50" s="6">
        <v>0</v>
      </c>
      <c r="F50" s="33">
        <v>0</v>
      </c>
      <c r="G50" s="33">
        <v>0</v>
      </c>
      <c r="H50" s="6">
        <v>0</v>
      </c>
      <c r="I50" s="28">
        <v>0</v>
      </c>
      <c r="J50" s="73">
        <v>0</v>
      </c>
      <c r="K50" s="6"/>
      <c r="L50" s="33"/>
      <c r="M50" s="162"/>
      <c r="N50" s="6"/>
      <c r="O50" s="33"/>
      <c r="P50" s="162"/>
      <c r="Q50" s="19"/>
      <c r="R50" s="6"/>
      <c r="S50" s="6">
        <f t="shared" si="5"/>
        <v>0</v>
      </c>
      <c r="T50" s="33">
        <f t="shared" si="6"/>
        <v>0</v>
      </c>
      <c r="U50" s="94"/>
      <c r="V50" s="84"/>
      <c r="AI50" s="26" t="s">
        <v>880</v>
      </c>
      <c r="AJ50" s="85">
        <f>+AJ19</f>
        <v>2</v>
      </c>
      <c r="AK50" s="3">
        <f>+AK19</f>
        <v>0</v>
      </c>
      <c r="AL50" s="7" t="s">
        <v>1377</v>
      </c>
    </row>
    <row r="51" spans="1:38">
      <c r="A51" s="19" t="s">
        <v>701</v>
      </c>
      <c r="B51" s="6">
        <v>1</v>
      </c>
      <c r="C51" s="33">
        <v>25.635000000000002</v>
      </c>
      <c r="D51" s="33">
        <v>38.067975000000004</v>
      </c>
      <c r="E51" s="6">
        <v>0</v>
      </c>
      <c r="F51" s="33">
        <v>0</v>
      </c>
      <c r="G51" s="33">
        <v>0</v>
      </c>
      <c r="H51" s="6">
        <v>1</v>
      </c>
      <c r="I51" s="28">
        <v>25.635000000000002</v>
      </c>
      <c r="J51" s="73">
        <v>38.067975000000004</v>
      </c>
      <c r="K51" s="6"/>
      <c r="L51" s="33"/>
      <c r="M51" s="162"/>
      <c r="N51" s="6"/>
      <c r="O51" s="33"/>
      <c r="P51" s="162"/>
      <c r="Q51" s="19"/>
      <c r="R51" s="6"/>
      <c r="S51" s="6">
        <f t="shared" si="5"/>
        <v>0</v>
      </c>
      <c r="T51" s="33">
        <f t="shared" si="6"/>
        <v>0</v>
      </c>
      <c r="U51" s="94"/>
      <c r="V51" s="147"/>
      <c r="AI51" s="23"/>
      <c r="AJ51" s="17"/>
      <c r="AK51" s="17"/>
      <c r="AL51" s="22"/>
    </row>
    <row r="52" spans="1:38">
      <c r="A52" s="19" t="s">
        <v>897</v>
      </c>
      <c r="B52" s="6">
        <v>0</v>
      </c>
      <c r="C52" s="33">
        <v>0</v>
      </c>
      <c r="D52" s="33">
        <v>0</v>
      </c>
      <c r="E52" s="6">
        <v>0</v>
      </c>
      <c r="F52" s="33">
        <v>0</v>
      </c>
      <c r="G52" s="33">
        <v>0</v>
      </c>
      <c r="H52" s="6">
        <v>0</v>
      </c>
      <c r="I52" s="28">
        <v>0</v>
      </c>
      <c r="J52" s="73">
        <v>0</v>
      </c>
      <c r="K52" s="6"/>
      <c r="L52" s="33"/>
      <c r="M52" s="162"/>
      <c r="N52" s="6"/>
      <c r="O52" s="33"/>
      <c r="P52" s="162"/>
      <c r="Q52" s="19"/>
      <c r="R52" s="6"/>
      <c r="S52" s="6">
        <f t="shared" si="5"/>
        <v>0</v>
      </c>
      <c r="T52" s="33">
        <f t="shared" si="6"/>
        <v>0</v>
      </c>
      <c r="U52" s="94"/>
      <c r="V52" s="94"/>
      <c r="AJ52" s="32"/>
    </row>
    <row r="53" spans="1:38">
      <c r="A53" s="19" t="s">
        <v>1483</v>
      </c>
      <c r="B53" s="6">
        <v>4</v>
      </c>
      <c r="C53" s="33">
        <v>1844.7267999999999</v>
      </c>
      <c r="D53" s="33">
        <v>9223.634</v>
      </c>
      <c r="E53" s="6">
        <v>2</v>
      </c>
      <c r="F53" s="33">
        <v>922.36380000000008</v>
      </c>
      <c r="G53" s="33">
        <v>4611.8190000000004</v>
      </c>
      <c r="H53" s="6">
        <v>2</v>
      </c>
      <c r="I53" s="28">
        <v>922.36299999999994</v>
      </c>
      <c r="J53" s="73">
        <v>4611.8149999999996</v>
      </c>
      <c r="K53" s="6"/>
      <c r="L53" s="33"/>
      <c r="M53" s="162"/>
      <c r="N53" s="6"/>
      <c r="O53" s="33"/>
      <c r="P53" s="162"/>
      <c r="Q53" s="19"/>
      <c r="R53" s="6"/>
      <c r="S53" s="6">
        <f t="shared" si="5"/>
        <v>0</v>
      </c>
      <c r="T53" s="33">
        <f t="shared" si="6"/>
        <v>0</v>
      </c>
      <c r="U53" s="139"/>
      <c r="V53" s="84"/>
      <c r="W53" t="s">
        <v>616</v>
      </c>
      <c r="AD53" t="s">
        <v>1603</v>
      </c>
    </row>
    <row r="54" spans="1:38">
      <c r="A54" s="20" t="s">
        <v>970</v>
      </c>
      <c r="B54" s="7">
        <v>50</v>
      </c>
      <c r="C54" s="34">
        <v>4452.6531578660288</v>
      </c>
      <c r="D54" s="34">
        <v>14020.908681000001</v>
      </c>
      <c r="E54" s="7">
        <v>28</v>
      </c>
      <c r="F54" s="34">
        <v>2636.8226578660287</v>
      </c>
      <c r="G54" s="34">
        <v>7942.4627</v>
      </c>
      <c r="H54" s="7">
        <v>22</v>
      </c>
      <c r="I54" s="29">
        <v>1815.8304999999998</v>
      </c>
      <c r="J54" s="73">
        <v>6078.4459809999998</v>
      </c>
      <c r="K54" s="7">
        <v>21</v>
      </c>
      <c r="L54" s="34">
        <v>5286.6810000000005</v>
      </c>
      <c r="M54" s="163">
        <v>0.85633621502026425</v>
      </c>
      <c r="N54" s="7">
        <v>11</v>
      </c>
      <c r="O54" s="34">
        <v>793.71600000000001</v>
      </c>
      <c r="P54" s="163">
        <v>0.893064205780425</v>
      </c>
      <c r="Q54" s="19"/>
      <c r="R54" s="6"/>
      <c r="S54" s="6">
        <f t="shared" si="5"/>
        <v>32</v>
      </c>
      <c r="T54" s="33">
        <f t="shared" si="6"/>
        <v>6080.3970000000008</v>
      </c>
      <c r="V54" s="94"/>
    </row>
    <row r="55" spans="1:38">
      <c r="A55" s="38" t="s">
        <v>974</v>
      </c>
      <c r="B55" s="10">
        <f t="shared" ref="B55:L55" si="12">SUM(B27:B54)</f>
        <v>761</v>
      </c>
      <c r="C55" s="111">
        <f t="shared" si="12"/>
        <v>304133.57110992615</v>
      </c>
      <c r="D55" s="965">
        <f t="shared" si="12"/>
        <v>1364924.35272724</v>
      </c>
      <c r="E55" s="10">
        <f t="shared" si="12"/>
        <v>555</v>
      </c>
      <c r="F55" s="111">
        <f t="shared" si="12"/>
        <v>236110.9352914237</v>
      </c>
      <c r="G55" s="96">
        <f t="shared" si="12"/>
        <v>1066876.2292329997</v>
      </c>
      <c r="H55" s="10">
        <f t="shared" si="12"/>
        <v>206</v>
      </c>
      <c r="I55" s="29">
        <f t="shared" si="12"/>
        <v>68022.635818502415</v>
      </c>
      <c r="J55" s="96">
        <f t="shared" si="12"/>
        <v>298048.12349424005</v>
      </c>
      <c r="K55" s="10">
        <f t="shared" si="12"/>
        <v>454</v>
      </c>
      <c r="L55" s="96">
        <f t="shared" si="12"/>
        <v>838125.22916500026</v>
      </c>
      <c r="M55" s="87"/>
      <c r="N55" s="10">
        <f>SUM(N27:N54)</f>
        <v>41</v>
      </c>
      <c r="O55" s="96">
        <f>SUM(O27:O54)</f>
        <v>25344.775999999998</v>
      </c>
      <c r="P55" s="87"/>
      <c r="Q55" s="10">
        <f>SUM(Q27:Q54)</f>
        <v>4</v>
      </c>
      <c r="R55" s="96">
        <f>SUM(R27:R54)</f>
        <v>46.361999999999995</v>
      </c>
      <c r="S55" s="10">
        <f>SUM(S27:S54)</f>
        <v>499</v>
      </c>
      <c r="T55" s="209">
        <f>SUM(T27:T54)</f>
        <v>863516.36716500018</v>
      </c>
      <c r="V55" s="94"/>
    </row>
    <row r="56" spans="1:38">
      <c r="A56" s="86"/>
      <c r="L56" s="30">
        <f>L55/T55</f>
        <v>0.97059564941037391</v>
      </c>
      <c r="V56" s="94"/>
    </row>
    <row r="57" spans="1:38">
      <c r="A57" s="83"/>
      <c r="V57" s="94"/>
    </row>
    <row r="58" spans="1:38">
      <c r="A58" s="83" t="s">
        <v>325</v>
      </c>
      <c r="V58" s="94"/>
    </row>
    <row r="59" spans="1:38">
      <c r="A59" s="36" t="s">
        <v>623</v>
      </c>
      <c r="B59" s="1115" t="s">
        <v>584</v>
      </c>
      <c r="C59" s="1116"/>
      <c r="D59" s="1117"/>
      <c r="E59" s="1120" t="s">
        <v>260</v>
      </c>
      <c r="F59" s="1121"/>
      <c r="G59" s="1122"/>
      <c r="H59" s="1115" t="s">
        <v>968</v>
      </c>
      <c r="I59" s="1116"/>
      <c r="J59" s="1117"/>
      <c r="K59" s="1115" t="s">
        <v>717</v>
      </c>
      <c r="L59" s="1116"/>
      <c r="M59" s="1116"/>
      <c r="N59" s="1116"/>
      <c r="O59" s="1117"/>
      <c r="P59" s="82" t="s">
        <v>259</v>
      </c>
      <c r="Q59" s="82" t="s">
        <v>257</v>
      </c>
      <c r="V59" s="94"/>
    </row>
    <row r="60" spans="1:38">
      <c r="A60" s="7" t="s">
        <v>705</v>
      </c>
      <c r="B60" s="113" t="s">
        <v>1487</v>
      </c>
      <c r="C60" s="184" t="s">
        <v>319</v>
      </c>
      <c r="D60" s="114" t="s">
        <v>622</v>
      </c>
      <c r="E60" s="113" t="s">
        <v>1487</v>
      </c>
      <c r="F60" s="184" t="s">
        <v>319</v>
      </c>
      <c r="G60" s="114" t="s">
        <v>622</v>
      </c>
      <c r="H60" s="113" t="s">
        <v>1487</v>
      </c>
      <c r="I60" s="184" t="s">
        <v>319</v>
      </c>
      <c r="J60" s="114" t="s">
        <v>622</v>
      </c>
      <c r="K60" s="1118" t="s">
        <v>1487</v>
      </c>
      <c r="L60" s="1119"/>
      <c r="M60" s="184" t="s">
        <v>319</v>
      </c>
      <c r="N60" s="1116" t="s">
        <v>622</v>
      </c>
      <c r="O60" s="1116"/>
      <c r="P60" s="98" t="s">
        <v>721</v>
      </c>
      <c r="Q60" s="98" t="s">
        <v>258</v>
      </c>
      <c r="V60" s="94"/>
    </row>
    <row r="61" spans="1:38">
      <c r="A61" s="136" t="s">
        <v>1586</v>
      </c>
      <c r="B61" s="210">
        <v>0</v>
      </c>
      <c r="C61" s="211">
        <v>0</v>
      </c>
      <c r="D61" s="212">
        <v>0</v>
      </c>
      <c r="E61" s="213">
        <v>0</v>
      </c>
      <c r="F61" s="214">
        <v>0</v>
      </c>
      <c r="G61" s="215">
        <v>0</v>
      </c>
      <c r="H61" s="213">
        <v>2</v>
      </c>
      <c r="I61" s="214">
        <v>435.78800000000001</v>
      </c>
      <c r="J61" s="215">
        <v>2178.94</v>
      </c>
      <c r="K61" s="211">
        <v>2</v>
      </c>
      <c r="L61" s="216">
        <f t="shared" ref="L61:L88" si="13">K61/K$89</f>
        <v>2.6281208935611039E-3</v>
      </c>
      <c r="M61" s="211">
        <v>435.78800000000001</v>
      </c>
      <c r="N61" s="211">
        <v>2178.94</v>
      </c>
      <c r="O61" s="216">
        <f t="shared" ref="O61:O88" si="14">N61/N$89</f>
        <v>1.5963815105549876E-3</v>
      </c>
      <c r="P61" s="217">
        <v>0</v>
      </c>
      <c r="Q61" s="217">
        <v>0</v>
      </c>
      <c r="V61" s="94"/>
    </row>
    <row r="62" spans="1:38">
      <c r="A62" s="136" t="s">
        <v>1059</v>
      </c>
      <c r="B62" s="210">
        <v>3</v>
      </c>
      <c r="C62" s="211">
        <v>112.72847999999999</v>
      </c>
      <c r="D62" s="212">
        <v>563.64239999999995</v>
      </c>
      <c r="E62" s="210">
        <v>0</v>
      </c>
      <c r="F62" s="211">
        <v>0</v>
      </c>
      <c r="G62" s="212">
        <v>0</v>
      </c>
      <c r="H62" s="210">
        <v>9</v>
      </c>
      <c r="I62" s="211">
        <v>5532.2010000000009</v>
      </c>
      <c r="J62" s="212">
        <v>27661.005000000001</v>
      </c>
      <c r="K62" s="211">
        <v>12</v>
      </c>
      <c r="L62" s="216">
        <f t="shared" si="13"/>
        <v>1.5768725361366621E-2</v>
      </c>
      <c r="M62" s="211">
        <v>5644.9294800000007</v>
      </c>
      <c r="N62" s="211">
        <v>28224.647400000002</v>
      </c>
      <c r="O62" s="216">
        <f t="shared" si="14"/>
        <v>2.0678543351948152E-2</v>
      </c>
      <c r="P62" s="218">
        <v>0</v>
      </c>
      <c r="Q62" s="218">
        <v>0</v>
      </c>
      <c r="V62" s="94"/>
      <c r="AE62" s="32"/>
      <c r="AF62" s="32"/>
      <c r="AG62" s="32"/>
      <c r="AH62" s="32"/>
      <c r="AJ62" s="32"/>
    </row>
    <row r="63" spans="1:38">
      <c r="A63" s="136" t="s">
        <v>3656</v>
      </c>
      <c r="B63" s="221">
        <v>0</v>
      </c>
      <c r="C63" s="222">
        <v>0</v>
      </c>
      <c r="D63" s="223">
        <v>0</v>
      </c>
      <c r="E63" s="221">
        <v>0</v>
      </c>
      <c r="F63" s="222">
        <v>0</v>
      </c>
      <c r="G63" s="223">
        <v>0</v>
      </c>
      <c r="H63" s="221">
        <v>1</v>
      </c>
      <c r="I63" s="222">
        <v>156.43799999999999</v>
      </c>
      <c r="J63" s="223">
        <v>560.56899999999996</v>
      </c>
      <c r="K63" s="222">
        <v>1</v>
      </c>
      <c r="L63" s="216">
        <f t="shared" si="13"/>
        <v>1.3140604467805519E-3</v>
      </c>
      <c r="M63" s="222">
        <v>156.43799999999999</v>
      </c>
      <c r="N63" s="222">
        <v>560.56899999999996</v>
      </c>
      <c r="O63" s="216">
        <f t="shared" si="14"/>
        <v>4.1069602053764618E-4</v>
      </c>
      <c r="P63" s="224">
        <v>0</v>
      </c>
      <c r="Q63" s="224">
        <v>0</v>
      </c>
    </row>
    <row r="64" spans="1:38">
      <c r="A64" s="220" t="s">
        <v>1082</v>
      </c>
      <c r="B64" s="210">
        <v>10</v>
      </c>
      <c r="C64" s="211">
        <v>569.73939999999993</v>
      </c>
      <c r="D64" s="212">
        <v>2541.1459999999997</v>
      </c>
      <c r="E64" s="210">
        <v>0</v>
      </c>
      <c r="F64" s="211">
        <v>0</v>
      </c>
      <c r="G64" s="212">
        <v>0</v>
      </c>
      <c r="H64" s="210">
        <v>38</v>
      </c>
      <c r="I64" s="211">
        <v>2679.5274343891406</v>
      </c>
      <c r="J64" s="212">
        <v>13205.553999999998</v>
      </c>
      <c r="K64" s="211">
        <v>48</v>
      </c>
      <c r="L64" s="216">
        <f t="shared" si="13"/>
        <v>6.3074901445466486E-2</v>
      </c>
      <c r="M64" s="211">
        <v>3249.2668343891405</v>
      </c>
      <c r="N64" s="211">
        <v>15746.699999999997</v>
      </c>
      <c r="O64" s="216">
        <f t="shared" si="14"/>
        <v>1.1536683310351004E-2</v>
      </c>
      <c r="P64" s="218">
        <v>8</v>
      </c>
      <c r="Q64" s="218">
        <v>0</v>
      </c>
      <c r="V64" s="94"/>
    </row>
    <row r="65" spans="1:36">
      <c r="A65" s="219" t="s">
        <v>973</v>
      </c>
      <c r="B65" s="210">
        <v>1</v>
      </c>
      <c r="C65" s="211">
        <v>221.63300000000001</v>
      </c>
      <c r="D65" s="212">
        <v>1108.163</v>
      </c>
      <c r="E65" s="210">
        <v>0</v>
      </c>
      <c r="F65" s="211">
        <v>0</v>
      </c>
      <c r="G65" s="212">
        <v>0</v>
      </c>
      <c r="H65" s="210">
        <v>4</v>
      </c>
      <c r="I65" s="211">
        <v>1013.707939914163</v>
      </c>
      <c r="J65" s="212">
        <v>4985.7659999999996</v>
      </c>
      <c r="K65" s="211">
        <v>5</v>
      </c>
      <c r="L65" s="216">
        <f t="shared" si="13"/>
        <v>6.5703022339027592E-3</v>
      </c>
      <c r="M65" s="211">
        <v>1235.3409399141631</v>
      </c>
      <c r="N65" s="211">
        <v>6093.9290000000001</v>
      </c>
      <c r="O65" s="216">
        <f t="shared" si="14"/>
        <v>4.4646642781512322E-3</v>
      </c>
      <c r="P65" s="218">
        <v>1</v>
      </c>
      <c r="Q65" s="218">
        <v>0</v>
      </c>
      <c r="V65" s="94"/>
    </row>
    <row r="66" spans="1:36">
      <c r="A66" s="219" t="s">
        <v>2399</v>
      </c>
      <c r="B66" s="210">
        <v>1</v>
      </c>
      <c r="C66" s="211">
        <v>267.72699999999998</v>
      </c>
      <c r="D66" s="212">
        <v>1070.9079999999999</v>
      </c>
      <c r="E66" s="210">
        <v>0</v>
      </c>
      <c r="F66" s="211">
        <v>0</v>
      </c>
      <c r="G66" s="212">
        <v>0</v>
      </c>
      <c r="H66" s="210">
        <v>0</v>
      </c>
      <c r="I66" s="211">
        <v>0</v>
      </c>
      <c r="J66" s="212">
        <v>0</v>
      </c>
      <c r="K66" s="211">
        <v>1</v>
      </c>
      <c r="L66" s="216">
        <f t="shared" si="13"/>
        <v>1.3140604467805519E-3</v>
      </c>
      <c r="M66" s="211">
        <v>267.72699999999998</v>
      </c>
      <c r="N66" s="211">
        <v>1070.9079999999999</v>
      </c>
      <c r="O66" s="216">
        <f t="shared" si="14"/>
        <v>7.8459146681662665E-4</v>
      </c>
      <c r="P66" s="218">
        <v>0</v>
      </c>
      <c r="Q66" s="218">
        <v>0</v>
      </c>
      <c r="V66" s="94"/>
    </row>
    <row r="67" spans="1:36">
      <c r="A67" s="136" t="s">
        <v>845</v>
      </c>
      <c r="B67" s="210">
        <v>5</v>
      </c>
      <c r="C67" s="211">
        <v>518.30700000000002</v>
      </c>
      <c r="D67" s="212">
        <v>2368.634</v>
      </c>
      <c r="E67" s="210">
        <v>0</v>
      </c>
      <c r="F67" s="211">
        <v>0</v>
      </c>
      <c r="G67" s="212">
        <v>0</v>
      </c>
      <c r="H67" s="210">
        <v>28</v>
      </c>
      <c r="I67" s="211">
        <v>9797.6286666666674</v>
      </c>
      <c r="J67" s="212">
        <v>47358.120095000006</v>
      </c>
      <c r="K67" s="211">
        <v>33</v>
      </c>
      <c r="L67" s="216">
        <f t="shared" si="13"/>
        <v>4.3363994743758211E-2</v>
      </c>
      <c r="M67" s="211">
        <v>10315.935666666668</v>
      </c>
      <c r="N67" s="211">
        <v>49726.754095000004</v>
      </c>
      <c r="O67" s="216">
        <f t="shared" si="14"/>
        <v>3.6431875506977025E-2</v>
      </c>
      <c r="P67" s="218">
        <v>2</v>
      </c>
      <c r="Q67" s="218">
        <v>0</v>
      </c>
      <c r="V67" s="94"/>
      <c r="W67" s="84"/>
      <c r="X67" s="84"/>
      <c r="Y67" s="94"/>
    </row>
    <row r="68" spans="1:36">
      <c r="A68" s="136" t="s">
        <v>1467</v>
      </c>
      <c r="B68" s="210">
        <v>9</v>
      </c>
      <c r="C68" s="211">
        <v>1248.971</v>
      </c>
      <c r="D68" s="212">
        <v>6222.391298999999</v>
      </c>
      <c r="E68" s="210">
        <v>0</v>
      </c>
      <c r="F68" s="211">
        <v>0</v>
      </c>
      <c r="G68" s="212">
        <v>0</v>
      </c>
      <c r="H68" s="210">
        <v>47</v>
      </c>
      <c r="I68" s="211">
        <v>14954.629819999996</v>
      </c>
      <c r="J68" s="212">
        <v>77468.840100000001</v>
      </c>
      <c r="K68" s="211">
        <v>56</v>
      </c>
      <c r="L68" s="216">
        <f t="shared" si="13"/>
        <v>7.3587385019710905E-2</v>
      </c>
      <c r="M68" s="211">
        <v>16203.600819999996</v>
      </c>
      <c r="N68" s="211">
        <v>83691.231398999997</v>
      </c>
      <c r="O68" s="216">
        <f t="shared" si="14"/>
        <v>6.131565550264928E-2</v>
      </c>
      <c r="P68" s="218">
        <v>2</v>
      </c>
      <c r="Q68" s="218">
        <v>0</v>
      </c>
      <c r="V68" s="94"/>
      <c r="W68" s="147"/>
      <c r="X68" s="147"/>
      <c r="Y68" s="94"/>
    </row>
    <row r="69" spans="1:36">
      <c r="A69" s="219" t="s">
        <v>910</v>
      </c>
      <c r="B69" s="210">
        <v>0</v>
      </c>
      <c r="C69" s="211">
        <v>0</v>
      </c>
      <c r="D69" s="212">
        <v>0</v>
      </c>
      <c r="E69" s="210">
        <v>0</v>
      </c>
      <c r="F69" s="211">
        <v>0</v>
      </c>
      <c r="G69" s="212">
        <v>0</v>
      </c>
      <c r="H69" s="210">
        <v>1</v>
      </c>
      <c r="I69" s="211">
        <v>698.52800000000002</v>
      </c>
      <c r="J69" s="212">
        <v>3492.6400000000003</v>
      </c>
      <c r="K69" s="211">
        <v>1</v>
      </c>
      <c r="L69" s="216">
        <f t="shared" si="13"/>
        <v>1.3140604467805519E-3</v>
      </c>
      <c r="M69" s="211">
        <v>698.52800000000002</v>
      </c>
      <c r="N69" s="211">
        <v>3492.6400000000003</v>
      </c>
      <c r="O69" s="216">
        <f t="shared" si="14"/>
        <v>2.5588524323867444E-3</v>
      </c>
      <c r="P69" s="218">
        <v>0</v>
      </c>
      <c r="Q69" s="218">
        <v>0</v>
      </c>
      <c r="V69" s="139"/>
      <c r="W69" s="94"/>
      <c r="X69" s="94"/>
      <c r="Y69" s="94"/>
    </row>
    <row r="70" spans="1:36">
      <c r="A70" s="219" t="s">
        <v>911</v>
      </c>
      <c r="B70" s="210">
        <v>20</v>
      </c>
      <c r="C70" s="211">
        <v>8821.2678777777783</v>
      </c>
      <c r="D70" s="212">
        <v>38097.694538000003</v>
      </c>
      <c r="E70" s="210">
        <v>0</v>
      </c>
      <c r="F70" s="211">
        <v>0</v>
      </c>
      <c r="G70" s="212">
        <v>0</v>
      </c>
      <c r="H70" s="210">
        <v>83</v>
      </c>
      <c r="I70" s="211">
        <v>34346.715506172404</v>
      </c>
      <c r="J70" s="212">
        <v>161605.61700000006</v>
      </c>
      <c r="K70" s="211">
        <v>103</v>
      </c>
      <c r="L70" s="216">
        <f t="shared" si="13"/>
        <v>0.13534822601839686</v>
      </c>
      <c r="M70" s="211">
        <v>43167.983383950181</v>
      </c>
      <c r="N70" s="211">
        <v>199703.31153800007</v>
      </c>
      <c r="O70" s="216">
        <f t="shared" si="14"/>
        <v>0.1463109007755449</v>
      </c>
      <c r="P70" s="218">
        <v>0</v>
      </c>
      <c r="Q70" s="218">
        <v>0</v>
      </c>
      <c r="V70" s="94"/>
      <c r="W70" s="94"/>
      <c r="X70" s="94"/>
      <c r="Y70" s="94"/>
    </row>
    <row r="71" spans="1:36">
      <c r="A71" s="219" t="s">
        <v>1576</v>
      </c>
      <c r="B71" s="210">
        <v>0</v>
      </c>
      <c r="C71" s="211">
        <v>0</v>
      </c>
      <c r="D71" s="212">
        <v>0</v>
      </c>
      <c r="E71" s="210">
        <v>0</v>
      </c>
      <c r="F71" s="211">
        <v>0</v>
      </c>
      <c r="G71" s="212">
        <v>0</v>
      </c>
      <c r="H71" s="210">
        <v>7</v>
      </c>
      <c r="I71" s="211">
        <v>2248.2059999999997</v>
      </c>
      <c r="J71" s="212">
        <v>11116.971</v>
      </c>
      <c r="K71" s="211">
        <v>7</v>
      </c>
      <c r="L71" s="216">
        <f t="shared" si="13"/>
        <v>9.1984231274638631E-3</v>
      </c>
      <c r="M71" s="211">
        <v>2248.2059999999997</v>
      </c>
      <c r="N71" s="211">
        <v>11116.971</v>
      </c>
      <c r="O71" s="216">
        <f t="shared" si="14"/>
        <v>8.144752474953873E-3</v>
      </c>
      <c r="P71" s="218">
        <v>0</v>
      </c>
      <c r="Q71" s="218">
        <v>0</v>
      </c>
      <c r="V71" s="94"/>
      <c r="W71" s="94"/>
      <c r="X71" s="94"/>
      <c r="Y71" s="94"/>
    </row>
    <row r="72" spans="1:36">
      <c r="A72" s="219" t="s">
        <v>719</v>
      </c>
      <c r="B72" s="210">
        <v>2</v>
      </c>
      <c r="C72" s="211">
        <v>239.63300000000001</v>
      </c>
      <c r="D72" s="212">
        <v>1198.165</v>
      </c>
      <c r="E72" s="210">
        <v>0</v>
      </c>
      <c r="F72" s="211">
        <v>0</v>
      </c>
      <c r="G72" s="212">
        <v>0</v>
      </c>
      <c r="H72" s="210">
        <v>12</v>
      </c>
      <c r="I72" s="211">
        <v>1667.431</v>
      </c>
      <c r="J72" s="212">
        <v>8138.3364239999992</v>
      </c>
      <c r="K72" s="211">
        <v>14</v>
      </c>
      <c r="L72" s="216">
        <f t="shared" si="13"/>
        <v>1.8396846254927726E-2</v>
      </c>
      <c r="M72" s="211">
        <v>1907.0639999999999</v>
      </c>
      <c r="N72" s="211">
        <v>9336.5014239999982</v>
      </c>
      <c r="O72" s="216">
        <f t="shared" si="14"/>
        <v>6.8403068678090772E-3</v>
      </c>
      <c r="P72" s="218">
        <v>0</v>
      </c>
      <c r="Q72" s="218">
        <v>0</v>
      </c>
      <c r="V72" s="94"/>
    </row>
    <row r="73" spans="1:36">
      <c r="A73" s="219" t="s">
        <v>1735</v>
      </c>
      <c r="B73" s="210">
        <v>14</v>
      </c>
      <c r="C73" s="211">
        <v>4503.8635999999997</v>
      </c>
      <c r="D73" s="212">
        <v>14222.142287000002</v>
      </c>
      <c r="E73" s="210">
        <v>0</v>
      </c>
      <c r="F73" s="211">
        <v>0</v>
      </c>
      <c r="G73" s="212">
        <v>0</v>
      </c>
      <c r="H73" s="210">
        <v>23</v>
      </c>
      <c r="I73" s="211">
        <v>8829.26325</v>
      </c>
      <c r="J73" s="212">
        <v>28873.786999999997</v>
      </c>
      <c r="K73" s="211">
        <v>37</v>
      </c>
      <c r="L73" s="216">
        <f t="shared" si="13"/>
        <v>4.862023653088042E-2</v>
      </c>
      <c r="M73" s="211">
        <v>13333.126850000001</v>
      </c>
      <c r="N73" s="211">
        <v>43095.929286999999</v>
      </c>
      <c r="O73" s="216">
        <f t="shared" si="14"/>
        <v>3.1573859167279499E-2</v>
      </c>
      <c r="P73" s="218">
        <v>2</v>
      </c>
      <c r="Q73" s="218">
        <v>0</v>
      </c>
      <c r="V73" s="94"/>
    </row>
    <row r="74" spans="1:36">
      <c r="A74" s="136" t="s">
        <v>1588</v>
      </c>
      <c r="B74" s="210">
        <v>7</v>
      </c>
      <c r="C74" s="211">
        <v>1931.259</v>
      </c>
      <c r="D74" s="212">
        <v>9482.58475</v>
      </c>
      <c r="E74" s="210">
        <v>0</v>
      </c>
      <c r="F74" s="211">
        <v>0</v>
      </c>
      <c r="G74" s="212">
        <v>0</v>
      </c>
      <c r="H74" s="210">
        <v>17</v>
      </c>
      <c r="I74" s="211">
        <v>8463.2262199999986</v>
      </c>
      <c r="J74" s="212">
        <v>31807.087833999998</v>
      </c>
      <c r="K74" s="211">
        <v>24</v>
      </c>
      <c r="L74" s="216">
        <f t="shared" si="13"/>
        <v>3.1537450722733243E-2</v>
      </c>
      <c r="M74" s="211">
        <v>10394.485219999999</v>
      </c>
      <c r="N74" s="211">
        <v>41289.672584</v>
      </c>
      <c r="O74" s="216">
        <f t="shared" si="14"/>
        <v>3.0250520844982778E-2</v>
      </c>
      <c r="P74" s="218">
        <v>5</v>
      </c>
      <c r="Q74" s="218">
        <v>0</v>
      </c>
      <c r="V74" s="94"/>
      <c r="W74" t="s">
        <v>617</v>
      </c>
    </row>
    <row r="75" spans="1:36">
      <c r="A75" s="136" t="s">
        <v>720</v>
      </c>
      <c r="B75" s="210">
        <v>40</v>
      </c>
      <c r="C75" s="211">
        <v>23253.186793333334</v>
      </c>
      <c r="D75" s="212">
        <v>108850.03382999999</v>
      </c>
      <c r="E75" s="210">
        <v>0</v>
      </c>
      <c r="F75" s="211">
        <v>0</v>
      </c>
      <c r="G75" s="212">
        <v>0</v>
      </c>
      <c r="H75" s="210">
        <v>132</v>
      </c>
      <c r="I75" s="211">
        <v>114720.20162857142</v>
      </c>
      <c r="J75" s="212">
        <v>519654.19279999979</v>
      </c>
      <c r="K75" s="211">
        <v>172</v>
      </c>
      <c r="L75" s="216">
        <f t="shared" si="13"/>
        <v>0.22601839684625494</v>
      </c>
      <c r="M75" s="211">
        <v>137973.38842190476</v>
      </c>
      <c r="N75" s="211">
        <v>628504.2266299997</v>
      </c>
      <c r="O75" s="216">
        <f t="shared" si="14"/>
        <v>0.46046817567156195</v>
      </c>
      <c r="P75" s="218">
        <v>1</v>
      </c>
      <c r="Q75" s="218">
        <v>0</v>
      </c>
      <c r="V75" s="94"/>
      <c r="AD75" t="s">
        <v>144</v>
      </c>
    </row>
    <row r="76" spans="1:36">
      <c r="A76" s="219" t="s">
        <v>972</v>
      </c>
      <c r="B76" s="210">
        <v>0</v>
      </c>
      <c r="C76" s="211">
        <v>0</v>
      </c>
      <c r="D76" s="212">
        <v>0</v>
      </c>
      <c r="E76" s="210">
        <v>0</v>
      </c>
      <c r="F76" s="211">
        <v>0</v>
      </c>
      <c r="G76" s="212">
        <v>0</v>
      </c>
      <c r="H76" s="210">
        <v>5</v>
      </c>
      <c r="I76" s="211">
        <v>418.50214999999997</v>
      </c>
      <c r="J76" s="212">
        <v>1799.184</v>
      </c>
      <c r="K76" s="211">
        <v>5</v>
      </c>
      <c r="L76" s="216">
        <f t="shared" si="13"/>
        <v>6.5703022339027592E-3</v>
      </c>
      <c r="M76" s="211">
        <v>418.50214999999997</v>
      </c>
      <c r="N76" s="211">
        <v>1799.184</v>
      </c>
      <c r="O76" s="216">
        <f t="shared" si="14"/>
        <v>1.3181565677285124E-3</v>
      </c>
      <c r="P76" s="218">
        <v>0</v>
      </c>
      <c r="Q76" s="218">
        <v>0</v>
      </c>
      <c r="V76" s="94"/>
    </row>
    <row r="77" spans="1:36">
      <c r="A77" s="219" t="s">
        <v>640</v>
      </c>
      <c r="B77" s="210">
        <v>1</v>
      </c>
      <c r="C77" s="211">
        <v>197.38900000000001</v>
      </c>
      <c r="D77" s="212">
        <v>789.55600000000004</v>
      </c>
      <c r="E77" s="210">
        <v>0</v>
      </c>
      <c r="F77" s="211">
        <v>0</v>
      </c>
      <c r="G77" s="212">
        <v>0</v>
      </c>
      <c r="H77" s="210">
        <v>3</v>
      </c>
      <c r="I77" s="211">
        <v>8568.8094631578933</v>
      </c>
      <c r="J77" s="212">
        <v>41800.133999999991</v>
      </c>
      <c r="K77" s="211">
        <v>4</v>
      </c>
      <c r="L77" s="216">
        <f t="shared" si="13"/>
        <v>5.2562417871222077E-3</v>
      </c>
      <c r="M77" s="211">
        <v>8766.1984631578925</v>
      </c>
      <c r="N77" s="211">
        <v>42589.689999999988</v>
      </c>
      <c r="O77" s="216">
        <f t="shared" si="14"/>
        <v>3.1202967340206077E-2</v>
      </c>
      <c r="P77" s="218">
        <v>0</v>
      </c>
      <c r="Q77" s="218">
        <v>0</v>
      </c>
      <c r="V77" s="94"/>
    </row>
    <row r="78" spans="1:36">
      <c r="A78" s="219" t="s">
        <v>971</v>
      </c>
      <c r="B78" s="210">
        <v>7</v>
      </c>
      <c r="C78" s="211">
        <v>659.24580000000003</v>
      </c>
      <c r="D78" s="212">
        <v>2726.2588457399997</v>
      </c>
      <c r="E78" s="210">
        <v>0</v>
      </c>
      <c r="F78" s="211">
        <v>0</v>
      </c>
      <c r="G78" s="212">
        <v>0</v>
      </c>
      <c r="H78" s="210">
        <v>20</v>
      </c>
      <c r="I78" s="211">
        <v>2452.8363666666664</v>
      </c>
      <c r="J78" s="212">
        <v>11432.718999999999</v>
      </c>
      <c r="K78" s="211">
        <v>27</v>
      </c>
      <c r="L78" s="216">
        <f t="shared" si="13"/>
        <v>3.5479632063074903E-2</v>
      </c>
      <c r="M78" s="211">
        <v>3112.0821666666666</v>
      </c>
      <c r="N78" s="211">
        <v>14158.977845739999</v>
      </c>
      <c r="O78" s="216">
        <f t="shared" si="14"/>
        <v>1.0373452431593813E-2</v>
      </c>
      <c r="P78" s="218">
        <v>1</v>
      </c>
      <c r="Q78" s="218">
        <v>1</v>
      </c>
      <c r="V78" s="94"/>
    </row>
    <row r="79" spans="1:36">
      <c r="A79" s="219" t="s">
        <v>1488</v>
      </c>
      <c r="B79" s="210">
        <v>16</v>
      </c>
      <c r="C79" s="211">
        <v>2826.39275</v>
      </c>
      <c r="D79" s="212">
        <v>12683.516961000003</v>
      </c>
      <c r="E79" s="210">
        <v>0</v>
      </c>
      <c r="F79" s="211">
        <v>0</v>
      </c>
      <c r="G79" s="212">
        <v>0</v>
      </c>
      <c r="H79" s="210">
        <v>67</v>
      </c>
      <c r="I79" s="211">
        <v>1689.657511408398</v>
      </c>
      <c r="J79" s="212">
        <v>7482.451</v>
      </c>
      <c r="K79" s="211">
        <v>83</v>
      </c>
      <c r="L79" s="216">
        <f t="shared" si="13"/>
        <v>0.10906701708278581</v>
      </c>
      <c r="M79" s="211">
        <v>4516.050261408398</v>
      </c>
      <c r="N79" s="211">
        <v>20165.967961000002</v>
      </c>
      <c r="O79" s="216">
        <f t="shared" si="14"/>
        <v>1.4774421689162926E-2</v>
      </c>
      <c r="P79" s="218">
        <v>2</v>
      </c>
      <c r="Q79" s="218">
        <v>0</v>
      </c>
      <c r="V79" s="94"/>
      <c r="AH79" s="32"/>
    </row>
    <row r="80" spans="1:36">
      <c r="A80" s="219" t="s">
        <v>3238</v>
      </c>
      <c r="B80" s="210">
        <v>1</v>
      </c>
      <c r="C80" s="211">
        <v>72.441999999999993</v>
      </c>
      <c r="D80" s="212">
        <v>115.90719999999999</v>
      </c>
      <c r="E80" s="210">
        <v>0</v>
      </c>
      <c r="F80" s="211">
        <v>0</v>
      </c>
      <c r="G80" s="212">
        <v>0</v>
      </c>
      <c r="H80" s="210">
        <v>7</v>
      </c>
      <c r="I80" s="211">
        <v>751.75059999999996</v>
      </c>
      <c r="J80" s="212">
        <v>3330.2029999999995</v>
      </c>
      <c r="K80" s="211">
        <v>8</v>
      </c>
      <c r="L80" s="216">
        <f t="shared" si="13"/>
        <v>1.0512483574244415E-2</v>
      </c>
      <c r="M80" s="211">
        <v>824.19259999999997</v>
      </c>
      <c r="N80" s="211">
        <v>3446.1101999999996</v>
      </c>
      <c r="O80" s="216">
        <f t="shared" si="14"/>
        <v>2.524762777595964E-3</v>
      </c>
      <c r="P80" s="218">
        <v>1</v>
      </c>
      <c r="Q80" s="218">
        <v>0</v>
      </c>
      <c r="V80" s="94"/>
      <c r="AE80" s="32"/>
      <c r="AJ80" s="32"/>
    </row>
    <row r="81" spans="1:34">
      <c r="A81" s="219" t="s">
        <v>4048</v>
      </c>
      <c r="B81" s="221">
        <v>0</v>
      </c>
      <c r="C81" s="222">
        <v>0</v>
      </c>
      <c r="D81" s="223">
        <v>0</v>
      </c>
      <c r="E81" s="221">
        <v>0</v>
      </c>
      <c r="F81" s="222">
        <v>0</v>
      </c>
      <c r="G81" s="223">
        <v>0</v>
      </c>
      <c r="H81" s="221">
        <v>0</v>
      </c>
      <c r="I81" s="222">
        <v>0</v>
      </c>
      <c r="J81" s="223">
        <v>0</v>
      </c>
      <c r="K81" s="222">
        <v>0</v>
      </c>
      <c r="L81" s="216">
        <f t="shared" si="13"/>
        <v>0</v>
      </c>
      <c r="M81" s="222">
        <v>0</v>
      </c>
      <c r="N81" s="222">
        <v>0</v>
      </c>
      <c r="O81" s="216">
        <f t="shared" si="14"/>
        <v>0</v>
      </c>
      <c r="P81" s="224">
        <v>0</v>
      </c>
      <c r="Q81" s="224">
        <v>0</v>
      </c>
      <c r="V81" s="94"/>
      <c r="AH81" s="32"/>
    </row>
    <row r="82" spans="1:34">
      <c r="A82" s="219" t="s">
        <v>981</v>
      </c>
      <c r="B82" s="210">
        <v>9</v>
      </c>
      <c r="C82" s="211">
        <v>8108.1405999999997</v>
      </c>
      <c r="D82" s="212">
        <v>34205.520000000004</v>
      </c>
      <c r="E82" s="221">
        <v>0</v>
      </c>
      <c r="F82" s="211">
        <v>0</v>
      </c>
      <c r="G82" s="212">
        <v>0</v>
      </c>
      <c r="H82" s="221">
        <v>46</v>
      </c>
      <c r="I82" s="222">
        <v>18493.350294002241</v>
      </c>
      <c r="J82" s="223">
        <v>69793.936707500005</v>
      </c>
      <c r="K82" s="211">
        <v>55</v>
      </c>
      <c r="L82" s="216">
        <f t="shared" si="13"/>
        <v>7.2273324572930356E-2</v>
      </c>
      <c r="M82" s="211">
        <v>26601.49089400224</v>
      </c>
      <c r="N82" s="211">
        <v>103999.45670750001</v>
      </c>
      <c r="O82" s="216">
        <f t="shared" si="14"/>
        <v>7.6194300804802745E-2</v>
      </c>
      <c r="P82" s="218">
        <v>0</v>
      </c>
      <c r="Q82" s="218">
        <v>0</v>
      </c>
      <c r="V82" s="94"/>
    </row>
    <row r="83" spans="1:34">
      <c r="A83" s="136" t="s">
        <v>2318</v>
      </c>
      <c r="B83" s="221">
        <v>1</v>
      </c>
      <c r="C83" s="222">
        <v>233.0232</v>
      </c>
      <c r="D83" s="223">
        <v>1165.116</v>
      </c>
      <c r="E83" s="221">
        <v>0</v>
      </c>
      <c r="F83" s="222">
        <v>0</v>
      </c>
      <c r="G83" s="223">
        <v>0</v>
      </c>
      <c r="H83" s="221">
        <v>7</v>
      </c>
      <c r="I83" s="222">
        <v>6107.2077999999992</v>
      </c>
      <c r="J83" s="223">
        <v>30484.307999999997</v>
      </c>
      <c r="K83" s="222">
        <v>8</v>
      </c>
      <c r="L83" s="216">
        <f t="shared" si="13"/>
        <v>1.0512483574244415E-2</v>
      </c>
      <c r="M83" s="222">
        <v>6340.2309999999989</v>
      </c>
      <c r="N83" s="222">
        <v>31649.423999999999</v>
      </c>
      <c r="O83" s="216">
        <f t="shared" si="14"/>
        <v>2.3187676252359072E-2</v>
      </c>
      <c r="P83" s="224">
        <v>0</v>
      </c>
      <c r="Q83" s="224">
        <v>0</v>
      </c>
      <c r="V83" s="94"/>
    </row>
    <row r="84" spans="1:34">
      <c r="A84" s="219" t="s">
        <v>1585</v>
      </c>
      <c r="B84" s="221">
        <v>0</v>
      </c>
      <c r="C84" s="222">
        <v>0</v>
      </c>
      <c r="D84" s="223">
        <v>0</v>
      </c>
      <c r="E84" s="221">
        <v>0</v>
      </c>
      <c r="F84" s="222">
        <v>0</v>
      </c>
      <c r="G84" s="223">
        <v>0</v>
      </c>
      <c r="H84" s="221">
        <v>0</v>
      </c>
      <c r="I84" s="222">
        <v>0</v>
      </c>
      <c r="J84" s="223">
        <v>0</v>
      </c>
      <c r="K84" s="222">
        <v>0</v>
      </c>
      <c r="L84" s="216">
        <f t="shared" si="13"/>
        <v>0</v>
      </c>
      <c r="M84" s="222">
        <v>0</v>
      </c>
      <c r="N84" s="222">
        <v>0</v>
      </c>
      <c r="O84" s="216">
        <f t="shared" si="14"/>
        <v>0</v>
      </c>
      <c r="P84" s="224">
        <v>0</v>
      </c>
      <c r="Q84" s="224">
        <v>0</v>
      </c>
      <c r="V84" s="94"/>
    </row>
    <row r="85" spans="1:34">
      <c r="A85" s="219" t="s">
        <v>701</v>
      </c>
      <c r="B85" s="221">
        <v>1</v>
      </c>
      <c r="C85" s="222">
        <v>25.635000000000002</v>
      </c>
      <c r="D85" s="223">
        <v>38.067975000000004</v>
      </c>
      <c r="E85" s="221">
        <v>0</v>
      </c>
      <c r="F85" s="222">
        <v>0</v>
      </c>
      <c r="G85" s="223">
        <v>0</v>
      </c>
      <c r="H85" s="221">
        <v>0</v>
      </c>
      <c r="I85" s="222">
        <v>0</v>
      </c>
      <c r="J85" s="223">
        <v>0</v>
      </c>
      <c r="K85" s="222">
        <v>1</v>
      </c>
      <c r="L85" s="216">
        <f t="shared" si="13"/>
        <v>1.3140604467805519E-3</v>
      </c>
      <c r="M85" s="222">
        <v>25.635000000000002</v>
      </c>
      <c r="N85" s="222">
        <v>38.067975000000004</v>
      </c>
      <c r="O85" s="216">
        <f t="shared" si="14"/>
        <v>2.7890172025971121E-5</v>
      </c>
      <c r="P85" s="224">
        <v>0</v>
      </c>
      <c r="Q85" s="224">
        <v>0</v>
      </c>
      <c r="V85" s="94"/>
    </row>
    <row r="86" spans="1:34">
      <c r="A86" s="219" t="s">
        <v>897</v>
      </c>
      <c r="B86" s="221">
        <v>0</v>
      </c>
      <c r="C86" s="222">
        <v>0</v>
      </c>
      <c r="D86" s="223">
        <v>0</v>
      </c>
      <c r="E86" s="221">
        <v>0</v>
      </c>
      <c r="F86" s="222">
        <v>0</v>
      </c>
      <c r="G86" s="223">
        <v>0</v>
      </c>
      <c r="H86" s="221">
        <v>0</v>
      </c>
      <c r="I86" s="222">
        <v>0</v>
      </c>
      <c r="J86" s="223">
        <v>0</v>
      </c>
      <c r="K86" s="222">
        <v>0</v>
      </c>
      <c r="L86" s="216">
        <f t="shared" si="13"/>
        <v>0</v>
      </c>
      <c r="M86" s="222">
        <v>0</v>
      </c>
      <c r="N86" s="222">
        <v>0</v>
      </c>
      <c r="O86" s="216">
        <f t="shared" si="14"/>
        <v>0</v>
      </c>
      <c r="P86" s="224">
        <v>0</v>
      </c>
      <c r="Q86" s="224">
        <v>0</v>
      </c>
      <c r="V86" s="94"/>
    </row>
    <row r="87" spans="1:34">
      <c r="A87" s="219" t="s">
        <v>1483</v>
      </c>
      <c r="B87" s="221">
        <v>2</v>
      </c>
      <c r="C87" s="222">
        <v>922.36299999999994</v>
      </c>
      <c r="D87" s="223">
        <v>4611.8149999999996</v>
      </c>
      <c r="E87" s="221">
        <v>0</v>
      </c>
      <c r="F87" s="222">
        <v>0</v>
      </c>
      <c r="G87" s="223">
        <v>0</v>
      </c>
      <c r="H87" s="221">
        <v>2</v>
      </c>
      <c r="I87" s="222">
        <v>922.36380000000008</v>
      </c>
      <c r="J87" s="223">
        <v>4611.8190000000004</v>
      </c>
      <c r="K87" s="222">
        <v>4</v>
      </c>
      <c r="L87" s="216">
        <f t="shared" si="13"/>
        <v>5.2562417871222077E-3</v>
      </c>
      <c r="M87" s="222">
        <v>1844.7267999999999</v>
      </c>
      <c r="N87" s="222">
        <v>9223.634</v>
      </c>
      <c r="O87" s="216">
        <f t="shared" si="14"/>
        <v>6.7576155276080768E-3</v>
      </c>
      <c r="P87" s="224">
        <v>0</v>
      </c>
      <c r="Q87" s="224">
        <v>0</v>
      </c>
      <c r="V87" s="94"/>
    </row>
    <row r="88" spans="1:34">
      <c r="A88" s="219" t="s">
        <v>970</v>
      </c>
      <c r="B88" s="221">
        <v>7</v>
      </c>
      <c r="C88" s="222">
        <v>1416.6094999999998</v>
      </c>
      <c r="D88" s="223">
        <v>5011.04025</v>
      </c>
      <c r="E88" s="221">
        <v>0</v>
      </c>
      <c r="F88" s="222">
        <v>0</v>
      </c>
      <c r="G88" s="223">
        <v>0</v>
      </c>
      <c r="H88" s="221">
        <v>43</v>
      </c>
      <c r="I88" s="222">
        <v>3036.0436578660288</v>
      </c>
      <c r="J88" s="223">
        <v>9009.8684310000008</v>
      </c>
      <c r="K88" s="222">
        <v>50</v>
      </c>
      <c r="L88" s="216">
        <f t="shared" si="13"/>
        <v>6.5703022339027597E-2</v>
      </c>
      <c r="M88" s="222">
        <v>4452.6531578660288</v>
      </c>
      <c r="N88" s="222">
        <v>14020.908681000001</v>
      </c>
      <c r="O88" s="216">
        <f t="shared" si="14"/>
        <v>1.0272297254411925E-2</v>
      </c>
      <c r="P88" s="225">
        <v>1</v>
      </c>
      <c r="Q88" s="225">
        <v>0</v>
      </c>
      <c r="V88" s="139"/>
    </row>
    <row r="89" spans="1:34">
      <c r="A89" s="226" t="s">
        <v>974</v>
      </c>
      <c r="B89" s="227">
        <f>SUM(B61:B88)</f>
        <v>157</v>
      </c>
      <c r="C89" s="228">
        <f t="shared" ref="C89:Q89" si="15">SUM(C61:C88)</f>
        <v>56149.557001111112</v>
      </c>
      <c r="D89" s="229">
        <f t="shared" si="15"/>
        <v>247072.30333574</v>
      </c>
      <c r="E89" s="227">
        <f t="shared" si="15"/>
        <v>0</v>
      </c>
      <c r="F89" s="228">
        <f t="shared" si="15"/>
        <v>0</v>
      </c>
      <c r="G89" s="229">
        <f t="shared" si="15"/>
        <v>0</v>
      </c>
      <c r="H89" s="227">
        <f t="shared" si="15"/>
        <v>604</v>
      </c>
      <c r="I89" s="228">
        <f t="shared" si="15"/>
        <v>247984.014108815</v>
      </c>
      <c r="J89" s="228">
        <f t="shared" si="15"/>
        <v>1117852.0493914997</v>
      </c>
      <c r="K89" s="227">
        <f t="shared" si="15"/>
        <v>761</v>
      </c>
      <c r="L89" s="230">
        <f t="shared" si="15"/>
        <v>1</v>
      </c>
      <c r="M89" s="228">
        <f t="shared" si="15"/>
        <v>304133.57110992615</v>
      </c>
      <c r="N89" s="228">
        <f t="shared" si="15"/>
        <v>1364924.35272724</v>
      </c>
      <c r="O89" s="230">
        <f t="shared" si="15"/>
        <v>0.99999999999999978</v>
      </c>
      <c r="P89" s="231">
        <f t="shared" si="15"/>
        <v>26</v>
      </c>
      <c r="Q89" s="229">
        <f t="shared" si="15"/>
        <v>1</v>
      </c>
      <c r="V89" s="94"/>
    </row>
    <row r="90" spans="1:34">
      <c r="A90" s="83"/>
      <c r="V90" s="94"/>
    </row>
    <row r="91" spans="1:34">
      <c r="A91" s="83"/>
      <c r="V91" s="139"/>
    </row>
    <row r="92" spans="1:34">
      <c r="A92" s="83"/>
    </row>
    <row r="93" spans="1:34">
      <c r="A93" s="23" t="s">
        <v>326</v>
      </c>
    </row>
    <row r="94" spans="1:34">
      <c r="A94" s="120" t="s">
        <v>624</v>
      </c>
      <c r="B94" s="1115" t="s">
        <v>1712</v>
      </c>
      <c r="C94" s="1116"/>
      <c r="D94" s="1117"/>
      <c r="E94" s="1120" t="s">
        <v>260</v>
      </c>
      <c r="F94" s="1121"/>
      <c r="G94" s="1122"/>
      <c r="H94" s="1115" t="s">
        <v>968</v>
      </c>
      <c r="I94" s="1116"/>
      <c r="J94" s="1117"/>
      <c r="K94" s="1115" t="s">
        <v>974</v>
      </c>
      <c r="L94" s="1116"/>
      <c r="M94" s="1116"/>
      <c r="N94" s="1116"/>
      <c r="O94" s="1117"/>
      <c r="P94" s="1115" t="s">
        <v>718</v>
      </c>
      <c r="Q94" s="1117"/>
      <c r="R94" s="82" t="s">
        <v>259</v>
      </c>
      <c r="S94" s="82" t="s">
        <v>257</v>
      </c>
      <c r="T94" s="82" t="s">
        <v>718</v>
      </c>
      <c r="U94" s="82" t="s">
        <v>4015</v>
      </c>
    </row>
    <row r="95" spans="1:34">
      <c r="A95" s="39"/>
      <c r="B95" s="132" t="s">
        <v>1487</v>
      </c>
      <c r="C95" s="81" t="s">
        <v>319</v>
      </c>
      <c r="D95" s="81" t="s">
        <v>622</v>
      </c>
      <c r="E95" s="113" t="s">
        <v>1487</v>
      </c>
      <c r="F95" s="184" t="s">
        <v>319</v>
      </c>
      <c r="G95" s="114" t="s">
        <v>622</v>
      </c>
      <c r="H95" s="84" t="s">
        <v>1487</v>
      </c>
      <c r="I95" s="84" t="s">
        <v>319</v>
      </c>
      <c r="J95" s="84" t="s">
        <v>622</v>
      </c>
      <c r="K95" s="1118" t="s">
        <v>1487</v>
      </c>
      <c r="L95" s="1119"/>
      <c r="M95" s="184" t="s">
        <v>319</v>
      </c>
      <c r="N95" s="1116" t="s">
        <v>622</v>
      </c>
      <c r="O95" s="1116"/>
      <c r="P95" s="113" t="s">
        <v>1487</v>
      </c>
      <c r="Q95" s="114" t="s">
        <v>319</v>
      </c>
      <c r="R95" s="98" t="s">
        <v>721</v>
      </c>
      <c r="S95" s="98" t="s">
        <v>258</v>
      </c>
      <c r="T95" s="98" t="s">
        <v>4084</v>
      </c>
      <c r="U95" s="954">
        <v>42370</v>
      </c>
    </row>
    <row r="96" spans="1:34">
      <c r="A96" s="36" t="s">
        <v>625</v>
      </c>
      <c r="B96" s="155">
        <f t="shared" ref="B96:K96" si="16">SUM(B97:B98)</f>
        <v>130</v>
      </c>
      <c r="C96" s="133">
        <f t="shared" si="16"/>
        <v>53875.226001111114</v>
      </c>
      <c r="D96" s="133">
        <f t="shared" si="16"/>
        <v>237663.12443373998</v>
      </c>
      <c r="E96" s="39">
        <f t="shared" si="16"/>
        <v>0</v>
      </c>
      <c r="F96" s="139">
        <f t="shared" si="16"/>
        <v>0</v>
      </c>
      <c r="G96" s="139">
        <f t="shared" si="16"/>
        <v>0</v>
      </c>
      <c r="H96" s="120">
        <f t="shared" si="16"/>
        <v>373</v>
      </c>
      <c r="I96" s="133">
        <f t="shared" si="16"/>
        <v>220376.22808840009</v>
      </c>
      <c r="J96" s="133">
        <f t="shared" si="16"/>
        <v>1007697.8117029999</v>
      </c>
      <c r="K96" s="134">
        <f t="shared" si="16"/>
        <v>503</v>
      </c>
      <c r="L96" s="181">
        <f>+K96/K$118</f>
        <v>0.66097240473061758</v>
      </c>
      <c r="M96" s="133">
        <f>SUM(M97:M98)</f>
        <v>274251.45408951119</v>
      </c>
      <c r="N96" s="133">
        <f>SUM(N97:N98)</f>
        <v>1245360.9361367398</v>
      </c>
      <c r="O96" s="152">
        <f>+N96/N$118</f>
        <v>0.91240289884812908</v>
      </c>
      <c r="P96" s="39">
        <f t="shared" ref="P96:U96" si="17">SUM(P97:P98)</f>
        <v>304</v>
      </c>
      <c r="Q96" s="138">
        <f t="shared" si="17"/>
        <v>781913.36620500009</v>
      </c>
      <c r="R96" s="138">
        <f t="shared" si="17"/>
        <v>23</v>
      </c>
      <c r="S96" s="158">
        <f t="shared" si="17"/>
        <v>0</v>
      </c>
      <c r="T96" s="158">
        <f t="shared" si="17"/>
        <v>0</v>
      </c>
      <c r="U96" s="138">
        <f t="shared" si="17"/>
        <v>783592.53600000008</v>
      </c>
    </row>
    <row r="97" spans="1:30">
      <c r="A97" s="46" t="s">
        <v>1176</v>
      </c>
      <c r="B97" s="22">
        <v>85</v>
      </c>
      <c r="C97" s="94">
        <v>37947.005121111113</v>
      </c>
      <c r="D97" s="94">
        <v>167650.18504973999</v>
      </c>
      <c r="E97" s="19">
        <v>0</v>
      </c>
      <c r="F97" s="94">
        <v>0</v>
      </c>
      <c r="G97" s="94">
        <v>0</v>
      </c>
      <c r="H97" s="19">
        <v>97</v>
      </c>
      <c r="I97" s="94">
        <v>75276.929946118471</v>
      </c>
      <c r="J97" s="94">
        <v>331050.02863399999</v>
      </c>
      <c r="K97" s="90">
        <v>182</v>
      </c>
      <c r="L97" s="149">
        <f>+K97/K$118</f>
        <v>0.23915900131406045</v>
      </c>
      <c r="M97" s="94">
        <v>113223.93506722958</v>
      </c>
      <c r="N97" s="94">
        <v>498700.21368374</v>
      </c>
      <c r="O97" s="149">
        <f>+N97/N$118</f>
        <v>0.36536839033408175</v>
      </c>
      <c r="P97" s="90">
        <v>85</v>
      </c>
      <c r="Q97" s="28">
        <v>265177.43927500001</v>
      </c>
      <c r="R97" s="28">
        <v>21</v>
      </c>
      <c r="S97" s="33">
        <v>0</v>
      </c>
      <c r="T97" s="33">
        <v>0</v>
      </c>
      <c r="U97" s="28">
        <v>266214.90000000002</v>
      </c>
    </row>
    <row r="98" spans="1:30">
      <c r="A98" s="44" t="s">
        <v>707</v>
      </c>
      <c r="B98" s="22">
        <v>45</v>
      </c>
      <c r="C98" s="94">
        <v>15928.220879999999</v>
      </c>
      <c r="D98" s="94">
        <v>70012.939383999998</v>
      </c>
      <c r="E98" s="19">
        <v>0</v>
      </c>
      <c r="F98" s="94">
        <v>0</v>
      </c>
      <c r="G98" s="94">
        <v>0</v>
      </c>
      <c r="H98" s="19">
        <v>276</v>
      </c>
      <c r="I98" s="94">
        <v>145099.29814228162</v>
      </c>
      <c r="J98" s="94">
        <v>676647.78306899988</v>
      </c>
      <c r="K98" s="90">
        <v>321</v>
      </c>
      <c r="L98" s="149">
        <f>+K98/K$118</f>
        <v>0.42181340341655715</v>
      </c>
      <c r="M98" s="94">
        <v>161027.51902228163</v>
      </c>
      <c r="N98" s="94">
        <v>746660.72245299991</v>
      </c>
      <c r="O98" s="149">
        <f>+N98/N$118</f>
        <v>0.54703450851404745</v>
      </c>
      <c r="P98" s="90">
        <v>219</v>
      </c>
      <c r="Q98" s="28">
        <v>516735.92693000013</v>
      </c>
      <c r="R98" s="28">
        <v>2</v>
      </c>
      <c r="S98" s="33">
        <v>0</v>
      </c>
      <c r="T98" s="33">
        <v>0</v>
      </c>
      <c r="U98" s="28">
        <v>517377.636</v>
      </c>
    </row>
    <row r="99" spans="1:30">
      <c r="A99" s="39" t="s">
        <v>396</v>
      </c>
      <c r="B99" s="120">
        <f>SUM(B100:B108)</f>
        <v>24</v>
      </c>
      <c r="C99" s="133">
        <f t="shared" ref="C99:S99" si="18">SUM(C100:C108)</f>
        <v>1657.9540000000002</v>
      </c>
      <c r="D99" s="133">
        <f t="shared" si="18"/>
        <v>6327.2939019999985</v>
      </c>
      <c r="E99" s="120">
        <f t="shared" si="18"/>
        <v>0</v>
      </c>
      <c r="F99" s="133">
        <f t="shared" si="18"/>
        <v>0</v>
      </c>
      <c r="G99" s="133">
        <f t="shared" si="18"/>
        <v>0</v>
      </c>
      <c r="H99" s="120">
        <f t="shared" si="18"/>
        <v>184</v>
      </c>
      <c r="I99" s="133">
        <f t="shared" si="18"/>
        <v>18578.43443970873</v>
      </c>
      <c r="J99" s="133">
        <f t="shared" si="18"/>
        <v>77670.096887499982</v>
      </c>
      <c r="K99" s="134">
        <f t="shared" si="18"/>
        <v>208</v>
      </c>
      <c r="L99" s="148">
        <f t="shared" si="18"/>
        <v>0.27332457293035484</v>
      </c>
      <c r="M99" s="133">
        <f t="shared" si="18"/>
        <v>20236.388439708731</v>
      </c>
      <c r="N99" s="133">
        <f t="shared" si="18"/>
        <v>83997.390789500001</v>
      </c>
      <c r="O99" s="148">
        <f t="shared" si="18"/>
        <v>6.1539960527237862E-2</v>
      </c>
      <c r="P99" s="120">
        <f t="shared" si="18"/>
        <v>150</v>
      </c>
      <c r="Q99" s="138">
        <f t="shared" si="18"/>
        <v>53065.298000000003</v>
      </c>
      <c r="R99" s="138">
        <f t="shared" si="18"/>
        <v>3</v>
      </c>
      <c r="S99" s="158">
        <f t="shared" si="18"/>
        <v>1</v>
      </c>
      <c r="T99" s="158">
        <f t="shared" ref="T99" si="19">SUM(T100:T108)</f>
        <v>10.106999999999999</v>
      </c>
      <c r="U99" s="138">
        <f>SUM(U100:U108)</f>
        <v>60067.327999999994</v>
      </c>
    </row>
    <row r="100" spans="1:30">
      <c r="A100" s="125" t="s">
        <v>573</v>
      </c>
      <c r="B100" s="125">
        <v>8</v>
      </c>
      <c r="C100" s="94">
        <v>657.64350000000002</v>
      </c>
      <c r="D100" s="94">
        <v>2599.8092499999998</v>
      </c>
      <c r="E100" s="19">
        <v>0</v>
      </c>
      <c r="F100" s="94">
        <v>0</v>
      </c>
      <c r="G100" s="94">
        <v>0</v>
      </c>
      <c r="H100" s="19">
        <v>30</v>
      </c>
      <c r="I100" s="94">
        <v>2956.3704666666663</v>
      </c>
      <c r="J100" s="94">
        <v>14079.172999999999</v>
      </c>
      <c r="K100" s="90">
        <v>38</v>
      </c>
      <c r="L100" s="149">
        <f t="shared" ref="L100:L108" si="20">+K100/K$118</f>
        <v>4.9934296977660969E-2</v>
      </c>
      <c r="M100" s="94">
        <v>3614.0139666666664</v>
      </c>
      <c r="N100" s="94">
        <v>16678.982250000001</v>
      </c>
      <c r="O100" s="149">
        <f t="shared" ref="O100:O108" si="21">+N100/N$118</f>
        <v>1.2219711822617801E-2</v>
      </c>
      <c r="P100" s="90">
        <v>21</v>
      </c>
      <c r="Q100" s="28">
        <v>6949.4210000000012</v>
      </c>
      <c r="R100" s="28">
        <v>0</v>
      </c>
      <c r="S100" s="33">
        <v>1</v>
      </c>
      <c r="T100" s="33">
        <v>0</v>
      </c>
      <c r="U100" s="28">
        <v>8458.3819999999996</v>
      </c>
      <c r="W100" t="s">
        <v>618</v>
      </c>
      <c r="AD100" t="s">
        <v>2</v>
      </c>
    </row>
    <row r="101" spans="1:30">
      <c r="A101" s="219" t="s">
        <v>265</v>
      </c>
      <c r="B101" s="19">
        <v>1</v>
      </c>
      <c r="C101" s="94">
        <v>33.441000000000003</v>
      </c>
      <c r="D101" s="94">
        <v>167.20500000000001</v>
      </c>
      <c r="E101" s="19">
        <v>0</v>
      </c>
      <c r="F101" s="94">
        <v>0</v>
      </c>
      <c r="G101" s="94">
        <v>0</v>
      </c>
      <c r="H101" s="19">
        <v>58</v>
      </c>
      <c r="I101" s="94">
        <v>1255.4987384615383</v>
      </c>
      <c r="J101" s="94">
        <v>5944.2420000000011</v>
      </c>
      <c r="K101" s="90">
        <v>59</v>
      </c>
      <c r="L101" s="149">
        <f t="shared" si="20"/>
        <v>7.7529566360052565E-2</v>
      </c>
      <c r="M101" s="94">
        <v>1288.9397384615384</v>
      </c>
      <c r="N101" s="94">
        <v>6111.447000000001</v>
      </c>
      <c r="O101" s="149">
        <f t="shared" si="21"/>
        <v>4.4774986890583268E-3</v>
      </c>
      <c r="P101" s="90">
        <v>53</v>
      </c>
      <c r="Q101" s="28">
        <v>607.38499999999988</v>
      </c>
      <c r="R101" s="28">
        <v>0</v>
      </c>
      <c r="S101" s="33">
        <v>0</v>
      </c>
      <c r="T101" s="33">
        <v>0</v>
      </c>
      <c r="U101" s="28">
        <v>4413.134</v>
      </c>
    </row>
    <row r="102" spans="1:30">
      <c r="A102" s="125" t="s">
        <v>1587</v>
      </c>
      <c r="B102" s="19">
        <v>3</v>
      </c>
      <c r="C102" s="94">
        <v>296.44839999999999</v>
      </c>
      <c r="D102" s="94">
        <v>1431.0659999999998</v>
      </c>
      <c r="E102" s="19">
        <v>0</v>
      </c>
      <c r="F102" s="94">
        <v>0</v>
      </c>
      <c r="G102" s="94">
        <v>0</v>
      </c>
      <c r="H102" s="19">
        <v>18</v>
      </c>
      <c r="I102" s="94">
        <v>4745.496964285715</v>
      </c>
      <c r="J102" s="94">
        <v>16350.91761</v>
      </c>
      <c r="K102" s="90">
        <v>21</v>
      </c>
      <c r="L102" s="149">
        <f t="shared" si="20"/>
        <v>2.7595269382391589E-2</v>
      </c>
      <c r="M102" s="94">
        <v>5041.9453642857152</v>
      </c>
      <c r="N102" s="94">
        <v>17781.983609999999</v>
      </c>
      <c r="O102" s="149">
        <f t="shared" si="21"/>
        <v>1.3027816211550495E-2</v>
      </c>
      <c r="P102" s="90">
        <v>12</v>
      </c>
      <c r="Q102" s="28">
        <v>8937.655999999999</v>
      </c>
      <c r="R102" s="28">
        <v>0</v>
      </c>
      <c r="S102" s="33">
        <v>0</v>
      </c>
      <c r="T102" s="33">
        <v>0</v>
      </c>
      <c r="U102" s="28">
        <v>9454.0619999999999</v>
      </c>
    </row>
    <row r="103" spans="1:30">
      <c r="A103" s="125" t="s">
        <v>847</v>
      </c>
      <c r="B103" s="19">
        <v>4</v>
      </c>
      <c r="C103" s="94">
        <v>234.54999999999998</v>
      </c>
      <c r="D103" s="94">
        <v>1131.5309999999999</v>
      </c>
      <c r="E103" s="19">
        <v>0</v>
      </c>
      <c r="F103" s="94">
        <v>0</v>
      </c>
      <c r="G103" s="94">
        <v>0</v>
      </c>
      <c r="H103" s="19">
        <v>36</v>
      </c>
      <c r="I103" s="94">
        <v>5138.3086480725888</v>
      </c>
      <c r="J103" s="94">
        <v>22394.330090000003</v>
      </c>
      <c r="K103" s="90">
        <v>40</v>
      </c>
      <c r="L103" s="149">
        <f t="shared" si="20"/>
        <v>5.2562417871222074E-2</v>
      </c>
      <c r="M103" s="94">
        <v>5372.8586480725889</v>
      </c>
      <c r="N103" s="94">
        <v>23525.861090000002</v>
      </c>
      <c r="O103" s="149">
        <f t="shared" si="21"/>
        <v>1.7236018276758889E-2</v>
      </c>
      <c r="P103" s="90">
        <v>29</v>
      </c>
      <c r="Q103" s="28">
        <v>20047.769</v>
      </c>
      <c r="R103" s="28">
        <v>1</v>
      </c>
      <c r="S103" s="33">
        <v>0</v>
      </c>
      <c r="T103" s="33">
        <f>+PoAs!S33+PoAs!S35</f>
        <v>10.106999999999999</v>
      </c>
      <c r="U103" s="28">
        <v>20057.876</v>
      </c>
    </row>
    <row r="104" spans="1:30">
      <c r="A104" s="125" t="s">
        <v>833</v>
      </c>
      <c r="B104" s="19">
        <v>2</v>
      </c>
      <c r="C104" s="94">
        <v>141.9631</v>
      </c>
      <c r="D104" s="94">
        <v>603.49549999999999</v>
      </c>
      <c r="E104" s="19">
        <v>0</v>
      </c>
      <c r="F104" s="94">
        <v>0</v>
      </c>
      <c r="G104" s="94">
        <v>0</v>
      </c>
      <c r="H104" s="19">
        <v>11</v>
      </c>
      <c r="I104" s="94">
        <v>1953.3384222222221</v>
      </c>
      <c r="J104" s="94">
        <v>9009.2819999999992</v>
      </c>
      <c r="K104" s="90">
        <v>13</v>
      </c>
      <c r="L104" s="149">
        <f t="shared" si="20"/>
        <v>1.7082785808147174E-2</v>
      </c>
      <c r="M104" s="94">
        <v>2095.301522222222</v>
      </c>
      <c r="N104" s="94">
        <v>9612.7775000000001</v>
      </c>
      <c r="O104" s="149">
        <f t="shared" si="21"/>
        <v>7.0427181409671675E-3</v>
      </c>
      <c r="P104" s="90">
        <v>10</v>
      </c>
      <c r="Q104" s="28">
        <v>7174.6059999999998</v>
      </c>
      <c r="R104" s="28">
        <v>0</v>
      </c>
      <c r="S104" s="33">
        <v>0</v>
      </c>
      <c r="T104" s="33">
        <v>0</v>
      </c>
      <c r="U104" s="28">
        <v>8266.2839999999997</v>
      </c>
    </row>
    <row r="105" spans="1:30">
      <c r="A105" s="125" t="s">
        <v>975</v>
      </c>
      <c r="B105" s="19">
        <v>2</v>
      </c>
      <c r="C105" s="94">
        <v>136.858</v>
      </c>
      <c r="D105" s="94">
        <v>39.5</v>
      </c>
      <c r="E105" s="19">
        <v>0</v>
      </c>
      <c r="F105" s="94">
        <v>0</v>
      </c>
      <c r="G105" s="94">
        <v>0</v>
      </c>
      <c r="H105" s="19">
        <v>12</v>
      </c>
      <c r="I105" s="94">
        <v>424.25120000000004</v>
      </c>
      <c r="J105" s="94">
        <v>1525.3777</v>
      </c>
      <c r="K105" s="90">
        <v>14</v>
      </c>
      <c r="L105" s="149">
        <f t="shared" si="20"/>
        <v>1.8396846254927726E-2</v>
      </c>
      <c r="M105" s="94">
        <v>561.1092000000001</v>
      </c>
      <c r="N105" s="94">
        <v>1564.8777</v>
      </c>
      <c r="O105" s="149">
        <f t="shared" si="21"/>
        <v>1.1464940872900654E-3</v>
      </c>
      <c r="P105" s="90">
        <v>11</v>
      </c>
      <c r="Q105" s="28">
        <v>817.47599999999989</v>
      </c>
      <c r="R105" s="28">
        <v>1</v>
      </c>
      <c r="S105" s="33">
        <v>0</v>
      </c>
      <c r="T105" s="33">
        <v>0</v>
      </c>
      <c r="U105" s="28">
        <v>1083.49</v>
      </c>
    </row>
    <row r="106" spans="1:30">
      <c r="A106" s="249" t="s">
        <v>976</v>
      </c>
      <c r="B106" s="263">
        <v>0</v>
      </c>
      <c r="C106" s="32">
        <v>0</v>
      </c>
      <c r="D106" s="32">
        <v>0</v>
      </c>
      <c r="E106" s="19">
        <v>0</v>
      </c>
      <c r="F106">
        <v>0</v>
      </c>
      <c r="G106">
        <v>0</v>
      </c>
      <c r="H106" s="19">
        <v>1</v>
      </c>
      <c r="I106">
        <v>60.133000000000003</v>
      </c>
      <c r="J106">
        <v>300.66500000000002</v>
      </c>
      <c r="K106" s="19">
        <v>1</v>
      </c>
      <c r="L106" s="149">
        <f t="shared" si="20"/>
        <v>1.3140604467805519E-3</v>
      </c>
      <c r="M106" s="32">
        <v>60.133000000000003</v>
      </c>
      <c r="N106" s="32">
        <v>300.66500000000002</v>
      </c>
      <c r="O106" s="149">
        <f t="shared" si="21"/>
        <v>2.2027960699744621E-4</v>
      </c>
      <c r="P106" s="19">
        <v>0</v>
      </c>
      <c r="Q106">
        <v>0</v>
      </c>
      <c r="R106" s="19">
        <v>1</v>
      </c>
      <c r="S106" s="6">
        <v>0</v>
      </c>
      <c r="T106" s="6">
        <v>0</v>
      </c>
      <c r="U106" s="28">
        <v>44.247999999999998</v>
      </c>
    </row>
    <row r="107" spans="1:30">
      <c r="A107" s="125" t="s">
        <v>879</v>
      </c>
      <c r="B107" s="19">
        <v>2</v>
      </c>
      <c r="C107" s="94">
        <v>127.006</v>
      </c>
      <c r="D107" s="94">
        <v>216.16899999999998</v>
      </c>
      <c r="E107" s="19">
        <v>0</v>
      </c>
      <c r="F107" s="94">
        <v>0</v>
      </c>
      <c r="G107" s="94">
        <v>0</v>
      </c>
      <c r="H107" s="19">
        <v>18</v>
      </c>
      <c r="I107" s="94">
        <v>2045.0369999999998</v>
      </c>
      <c r="J107" s="94">
        <v>8066.1094874999999</v>
      </c>
      <c r="K107" s="90">
        <v>20</v>
      </c>
      <c r="L107" s="149">
        <f t="shared" si="20"/>
        <v>2.6281208935611037E-2</v>
      </c>
      <c r="M107" s="94">
        <v>2172.0429999999997</v>
      </c>
      <c r="N107" s="94">
        <v>8282.2784874999998</v>
      </c>
      <c r="O107" s="149">
        <f t="shared" si="21"/>
        <v>6.067939568190189E-3</v>
      </c>
      <c r="P107" s="90">
        <v>14</v>
      </c>
      <c r="Q107" s="28">
        <v>8530.9850000000006</v>
      </c>
      <c r="R107" s="28">
        <v>0</v>
      </c>
      <c r="S107" s="33">
        <v>0</v>
      </c>
      <c r="T107" s="33">
        <v>0</v>
      </c>
      <c r="U107" s="28">
        <v>8289.8520000000008</v>
      </c>
    </row>
    <row r="108" spans="1:30">
      <c r="A108" s="125" t="s">
        <v>834</v>
      </c>
      <c r="B108" s="19">
        <v>2</v>
      </c>
      <c r="C108" s="94">
        <v>30.044</v>
      </c>
      <c r="D108" s="94">
        <v>138.51815199999999</v>
      </c>
      <c r="E108" s="136">
        <v>0</v>
      </c>
      <c r="F108" s="94">
        <v>0</v>
      </c>
      <c r="G108" s="94">
        <v>0</v>
      </c>
      <c r="H108" s="19">
        <v>0</v>
      </c>
      <c r="I108" s="94">
        <v>0</v>
      </c>
      <c r="J108" s="94">
        <v>0</v>
      </c>
      <c r="K108" s="90">
        <v>2</v>
      </c>
      <c r="L108" s="149">
        <f t="shared" si="20"/>
        <v>2.6281208935611039E-3</v>
      </c>
      <c r="M108" s="94">
        <v>30.044</v>
      </c>
      <c r="N108" s="94">
        <v>138.51815199999999</v>
      </c>
      <c r="O108" s="149">
        <f t="shared" si="21"/>
        <v>1.0148412380746849E-4</v>
      </c>
      <c r="P108" s="90">
        <v>0</v>
      </c>
      <c r="Q108" s="28">
        <v>0</v>
      </c>
      <c r="R108" s="28">
        <v>0</v>
      </c>
      <c r="S108" s="34">
        <v>0</v>
      </c>
      <c r="T108" s="34">
        <v>0</v>
      </c>
      <c r="U108" s="28">
        <v>0</v>
      </c>
    </row>
    <row r="109" spans="1:30">
      <c r="A109" s="120" t="s">
        <v>1549</v>
      </c>
      <c r="B109" s="120">
        <f>SUM(B110:B117)</f>
        <v>3</v>
      </c>
      <c r="C109" s="133">
        <f t="shared" ref="C109:S109" si="22">SUM(C110:C117)</f>
        <v>616.37699999999995</v>
      </c>
      <c r="D109" s="133">
        <f t="shared" si="22"/>
        <v>3081.8850000000002</v>
      </c>
      <c r="E109" s="250">
        <f t="shared" si="22"/>
        <v>0</v>
      </c>
      <c r="F109" s="133">
        <f t="shared" si="22"/>
        <v>0</v>
      </c>
      <c r="G109" s="133">
        <f t="shared" si="22"/>
        <v>0</v>
      </c>
      <c r="H109" s="120">
        <f t="shared" si="22"/>
        <v>47</v>
      </c>
      <c r="I109" s="133">
        <f t="shared" si="22"/>
        <v>9029.3515807061794</v>
      </c>
      <c r="J109" s="133">
        <f t="shared" si="22"/>
        <v>32484.140800999998</v>
      </c>
      <c r="K109" s="134">
        <f t="shared" si="22"/>
        <v>50</v>
      </c>
      <c r="L109" s="148">
        <f t="shared" si="22"/>
        <v>6.5703022339027597E-2</v>
      </c>
      <c r="M109" s="133">
        <f t="shared" si="22"/>
        <v>9645.7285807061799</v>
      </c>
      <c r="N109" s="133">
        <f t="shared" si="22"/>
        <v>35566.025800999996</v>
      </c>
      <c r="O109" s="148">
        <f t="shared" si="22"/>
        <v>2.6057140624633102E-2</v>
      </c>
      <c r="P109" s="134">
        <f t="shared" si="22"/>
        <v>41</v>
      </c>
      <c r="Q109" s="138">
        <f t="shared" si="22"/>
        <v>28491.340960000001</v>
      </c>
      <c r="R109" s="138">
        <f t="shared" si="22"/>
        <v>0</v>
      </c>
      <c r="S109" s="158">
        <f t="shared" si="22"/>
        <v>0</v>
      </c>
      <c r="T109" s="158">
        <f t="shared" ref="T109" si="23">SUM(T110:T117)</f>
        <v>85.923000000000002</v>
      </c>
      <c r="U109" s="138">
        <f>SUM(U110:U117)</f>
        <v>28233.765000000003</v>
      </c>
    </row>
    <row r="110" spans="1:30">
      <c r="A110" s="219" t="s">
        <v>1396</v>
      </c>
      <c r="B110" s="19">
        <v>0</v>
      </c>
      <c r="C110" s="94">
        <v>0</v>
      </c>
      <c r="D110" s="94">
        <v>0</v>
      </c>
      <c r="E110" s="136">
        <v>0</v>
      </c>
      <c r="F110" s="94">
        <v>0</v>
      </c>
      <c r="G110" s="94">
        <v>0</v>
      </c>
      <c r="H110" s="19">
        <v>2</v>
      </c>
      <c r="I110" s="94">
        <v>198.947</v>
      </c>
      <c r="J110" s="94">
        <v>432.64400000000001</v>
      </c>
      <c r="K110" s="119">
        <v>2</v>
      </c>
      <c r="L110" s="150">
        <f t="shared" ref="L110" si="24">+K110/K$118</f>
        <v>2.6281208935611039E-3</v>
      </c>
      <c r="M110" s="94">
        <v>198.947</v>
      </c>
      <c r="N110" s="94">
        <v>432.64400000000001</v>
      </c>
      <c r="O110" s="149">
        <f t="shared" ref="O110" si="25">+N110/N$118</f>
        <v>3.1697287775365643E-4</v>
      </c>
      <c r="P110" s="90">
        <v>2</v>
      </c>
      <c r="Q110" s="28">
        <v>400.03399999999999</v>
      </c>
      <c r="R110" s="28">
        <v>0</v>
      </c>
      <c r="S110" s="33">
        <v>0</v>
      </c>
      <c r="T110" s="33">
        <v>0</v>
      </c>
      <c r="U110" s="28">
        <v>400.03399999999999</v>
      </c>
    </row>
    <row r="111" spans="1:30">
      <c r="A111" s="125" t="s">
        <v>558</v>
      </c>
      <c r="B111" s="19">
        <v>1</v>
      </c>
      <c r="C111" s="94">
        <v>57.347999999999999</v>
      </c>
      <c r="D111" s="94">
        <v>286.74</v>
      </c>
      <c r="E111" s="136">
        <v>0</v>
      </c>
      <c r="F111" s="94">
        <v>0</v>
      </c>
      <c r="G111" s="94">
        <v>0</v>
      </c>
      <c r="H111" s="19">
        <v>12</v>
      </c>
      <c r="I111" s="94">
        <v>4474.8753846153841</v>
      </c>
      <c r="J111" s="94">
        <v>15639.810508999999</v>
      </c>
      <c r="K111" s="119">
        <v>13</v>
      </c>
      <c r="L111" s="150">
        <f t="shared" ref="L111:L117" si="26">+K111/K$118</f>
        <v>1.7082785808147174E-2</v>
      </c>
      <c r="M111" s="94">
        <v>4532.223384615384</v>
      </c>
      <c r="N111" s="94">
        <v>15926.550508999999</v>
      </c>
      <c r="O111" s="149">
        <f t="shared" ref="O111:O117" si="27">+N111/N$118</f>
        <v>1.1668449227370982E-2</v>
      </c>
      <c r="P111" s="90">
        <v>11</v>
      </c>
      <c r="Q111" s="28">
        <v>13502.089</v>
      </c>
      <c r="R111" s="28">
        <v>0</v>
      </c>
      <c r="S111" s="33">
        <v>0</v>
      </c>
      <c r="T111" s="33">
        <f>PoAs!S5+PoAs!S7+PoAs!S9+PoAs!S12+PoAs!S14+PoAs!S16+PoAs!S18+PoAs!S20+PoAs!S22+PoAs!S27+PoAs!S29+PoAs!S31+PoAs!S43</f>
        <v>76.328000000000003</v>
      </c>
      <c r="U111" s="212">
        <v>13580.27</v>
      </c>
    </row>
    <row r="112" spans="1:30">
      <c r="A112" s="219" t="s">
        <v>1598</v>
      </c>
      <c r="B112" s="19">
        <v>0</v>
      </c>
      <c r="C112" s="94">
        <v>0</v>
      </c>
      <c r="D112" s="94">
        <v>0</v>
      </c>
      <c r="E112" s="136">
        <v>0</v>
      </c>
      <c r="F112" s="94">
        <v>0</v>
      </c>
      <c r="G112" s="94">
        <v>0</v>
      </c>
      <c r="H112" s="19">
        <v>3</v>
      </c>
      <c r="I112" s="94">
        <v>168.54900000000001</v>
      </c>
      <c r="J112" s="94">
        <v>574.01099999999997</v>
      </c>
      <c r="K112" s="119">
        <v>3</v>
      </c>
      <c r="L112" s="150">
        <f t="shared" si="26"/>
        <v>3.9421813403416554E-3</v>
      </c>
      <c r="M112" s="94">
        <v>168.54900000000001</v>
      </c>
      <c r="N112" s="94">
        <v>574.01099999999997</v>
      </c>
      <c r="O112" s="149">
        <f t="shared" si="27"/>
        <v>4.2054418536314862E-4</v>
      </c>
      <c r="P112" s="90">
        <v>3</v>
      </c>
      <c r="Q112" s="28">
        <v>971.92599999999993</v>
      </c>
      <c r="R112" s="28">
        <v>0</v>
      </c>
      <c r="S112" s="33">
        <v>0</v>
      </c>
      <c r="T112" s="33">
        <v>0</v>
      </c>
      <c r="U112" s="28">
        <v>971.92600000000004</v>
      </c>
    </row>
    <row r="113" spans="1:33">
      <c r="A113" s="125" t="s">
        <v>1397</v>
      </c>
      <c r="B113" s="19">
        <v>0</v>
      </c>
      <c r="C113" s="94">
        <v>0</v>
      </c>
      <c r="D113" s="94">
        <v>0</v>
      </c>
      <c r="E113" s="136">
        <v>0</v>
      </c>
      <c r="F113" s="94">
        <v>0</v>
      </c>
      <c r="G113" s="94">
        <v>0</v>
      </c>
      <c r="H113" s="19">
        <v>17</v>
      </c>
      <c r="I113" s="94">
        <v>2829.524796090795</v>
      </c>
      <c r="J113" s="94">
        <v>10373.615000000002</v>
      </c>
      <c r="K113" s="119">
        <v>17</v>
      </c>
      <c r="L113" s="150">
        <f t="shared" si="26"/>
        <v>2.2339027595269383E-2</v>
      </c>
      <c r="M113" s="94">
        <v>2829.524796090795</v>
      </c>
      <c r="N113" s="94">
        <v>10373.615000000002</v>
      </c>
      <c r="O113" s="149">
        <f t="shared" si="27"/>
        <v>7.600139142709704E-3</v>
      </c>
      <c r="P113" s="90">
        <v>15</v>
      </c>
      <c r="Q113" s="28">
        <v>9183.3954600000015</v>
      </c>
      <c r="R113" s="28">
        <v>0</v>
      </c>
      <c r="S113" s="33">
        <v>0</v>
      </c>
      <c r="T113" s="33">
        <f>+PoAs!S37+PoAs!S39+PoAs!S41</f>
        <v>9.5950000000000006</v>
      </c>
      <c r="U113" s="28">
        <v>8583.3330000000005</v>
      </c>
      <c r="V113" s="71"/>
    </row>
    <row r="114" spans="1:33">
      <c r="A114" s="219" t="s">
        <v>1398</v>
      </c>
      <c r="B114" s="19">
        <v>2</v>
      </c>
      <c r="C114" s="94">
        <v>559.029</v>
      </c>
      <c r="D114" s="94">
        <v>2795.1450000000004</v>
      </c>
      <c r="E114" s="136">
        <v>0</v>
      </c>
      <c r="F114" s="94">
        <v>0</v>
      </c>
      <c r="G114" s="94">
        <v>0</v>
      </c>
      <c r="H114" s="19">
        <v>0</v>
      </c>
      <c r="I114" s="94">
        <v>0</v>
      </c>
      <c r="J114" s="94">
        <v>0</v>
      </c>
      <c r="K114" s="119">
        <v>2</v>
      </c>
      <c r="L114" s="150">
        <f t="shared" si="26"/>
        <v>2.6281208935611039E-3</v>
      </c>
      <c r="M114" s="94">
        <v>559.029</v>
      </c>
      <c r="N114" s="94">
        <v>2795.1450000000004</v>
      </c>
      <c r="O114" s="149">
        <f t="shared" si="27"/>
        <v>2.0478387644084842E-3</v>
      </c>
      <c r="P114" s="90">
        <v>0</v>
      </c>
      <c r="Q114" s="28">
        <v>0</v>
      </c>
      <c r="R114" s="28">
        <v>0</v>
      </c>
      <c r="S114" s="33">
        <v>0</v>
      </c>
      <c r="T114" s="33">
        <v>0</v>
      </c>
      <c r="U114" s="28">
        <v>0</v>
      </c>
      <c r="V114" s="71"/>
    </row>
    <row r="115" spans="1:33">
      <c r="A115" s="219" t="s">
        <v>749</v>
      </c>
      <c r="B115" s="19">
        <v>0</v>
      </c>
      <c r="C115" s="94">
        <v>0</v>
      </c>
      <c r="D115" s="94">
        <v>0</v>
      </c>
      <c r="E115" s="136">
        <v>0</v>
      </c>
      <c r="F115" s="94">
        <v>0</v>
      </c>
      <c r="G115" s="94">
        <v>0</v>
      </c>
      <c r="H115" s="19">
        <v>3</v>
      </c>
      <c r="I115" s="94">
        <v>164.089</v>
      </c>
      <c r="J115" s="94">
        <v>597.923</v>
      </c>
      <c r="K115" s="119">
        <v>3</v>
      </c>
      <c r="L115" s="150">
        <f t="shared" si="26"/>
        <v>3.9421813403416554E-3</v>
      </c>
      <c r="M115" s="94">
        <v>164.089</v>
      </c>
      <c r="N115" s="94">
        <v>597.923</v>
      </c>
      <c r="O115" s="149">
        <f t="shared" si="27"/>
        <v>4.3806310496643781E-4</v>
      </c>
      <c r="P115" s="90">
        <v>0</v>
      </c>
      <c r="Q115" s="28">
        <v>0</v>
      </c>
      <c r="R115" s="28">
        <v>0</v>
      </c>
      <c r="S115" s="33">
        <v>0</v>
      </c>
      <c r="T115" s="33">
        <v>0</v>
      </c>
      <c r="U115" s="28">
        <v>851.41600000000005</v>
      </c>
    </row>
    <row r="116" spans="1:33">
      <c r="A116" s="125" t="s">
        <v>978</v>
      </c>
      <c r="B116" s="19">
        <v>0</v>
      </c>
      <c r="C116" s="94">
        <v>0</v>
      </c>
      <c r="D116" s="94">
        <v>0</v>
      </c>
      <c r="E116" s="136">
        <v>0</v>
      </c>
      <c r="F116" s="94">
        <v>0</v>
      </c>
      <c r="G116" s="94">
        <v>0</v>
      </c>
      <c r="H116" s="19">
        <v>2</v>
      </c>
      <c r="I116" s="94">
        <v>441.12700000000001</v>
      </c>
      <c r="J116" s="94">
        <v>1104.940292</v>
      </c>
      <c r="K116" s="119">
        <v>2</v>
      </c>
      <c r="L116" s="150">
        <f t="shared" si="26"/>
        <v>2.6281208935611039E-3</v>
      </c>
      <c r="M116" s="94">
        <v>441.12700000000001</v>
      </c>
      <c r="N116" s="94">
        <v>1104.940292</v>
      </c>
      <c r="O116" s="149">
        <f t="shared" si="27"/>
        <v>8.0952493066171138E-4</v>
      </c>
      <c r="P116" s="90">
        <v>2</v>
      </c>
      <c r="Q116" s="28">
        <v>1339.8999999999999</v>
      </c>
      <c r="R116" s="28">
        <v>0</v>
      </c>
      <c r="S116" s="33">
        <v>0</v>
      </c>
      <c r="T116" s="33">
        <v>0</v>
      </c>
      <c r="U116" s="28">
        <v>1339.8989999999999</v>
      </c>
    </row>
    <row r="117" spans="1:33">
      <c r="A117" s="128" t="s">
        <v>1063</v>
      </c>
      <c r="B117" s="20">
        <v>0</v>
      </c>
      <c r="C117" s="95">
        <v>0</v>
      </c>
      <c r="D117" s="95">
        <v>0</v>
      </c>
      <c r="E117" s="20">
        <v>0</v>
      </c>
      <c r="F117" s="95">
        <v>0</v>
      </c>
      <c r="G117" s="95">
        <v>0</v>
      </c>
      <c r="H117" s="20">
        <v>8</v>
      </c>
      <c r="I117" s="95">
        <v>752.23939999999993</v>
      </c>
      <c r="J117" s="95">
        <v>3761.1970000000001</v>
      </c>
      <c r="K117" s="47">
        <v>8</v>
      </c>
      <c r="L117" s="251">
        <f t="shared" si="26"/>
        <v>1.0512483574244415E-2</v>
      </c>
      <c r="M117" s="95">
        <v>752.23939999999993</v>
      </c>
      <c r="N117" s="95">
        <v>3761.1970000000001</v>
      </c>
      <c r="O117" s="251">
        <f t="shared" si="27"/>
        <v>2.755608391398978E-3</v>
      </c>
      <c r="P117" s="47">
        <v>8</v>
      </c>
      <c r="Q117" s="29">
        <v>3093.9965000000002</v>
      </c>
      <c r="R117" s="29">
        <v>0</v>
      </c>
      <c r="S117" s="34">
        <v>0</v>
      </c>
      <c r="T117" s="34">
        <v>0</v>
      </c>
      <c r="U117" s="29">
        <v>2506.8870000000002</v>
      </c>
    </row>
    <row r="118" spans="1:33">
      <c r="A118" s="140" t="s">
        <v>626</v>
      </c>
      <c r="B118" s="182">
        <f>+B96+B99+B109</f>
        <v>157</v>
      </c>
      <c r="C118" s="160">
        <f t="shared" ref="C118:S118" si="28">+C96+C99+C109</f>
        <v>56149.557001111112</v>
      </c>
      <c r="D118" s="160">
        <f>+D96+D99+D109</f>
        <v>247072.30333574</v>
      </c>
      <c r="E118" s="182">
        <f t="shared" si="28"/>
        <v>0</v>
      </c>
      <c r="F118" s="160">
        <f t="shared" si="28"/>
        <v>0</v>
      </c>
      <c r="G118" s="160">
        <f t="shared" si="28"/>
        <v>0</v>
      </c>
      <c r="H118" s="182">
        <f t="shared" si="28"/>
        <v>604</v>
      </c>
      <c r="I118" s="160">
        <f t="shared" si="28"/>
        <v>247984.01410881503</v>
      </c>
      <c r="J118" s="160">
        <f t="shared" si="28"/>
        <v>1117852.0493914997</v>
      </c>
      <c r="K118" s="159">
        <f>+K96+K99+K109</f>
        <v>761</v>
      </c>
      <c r="L118" s="183">
        <f t="shared" si="28"/>
        <v>1</v>
      </c>
      <c r="M118" s="160">
        <f t="shared" si="28"/>
        <v>304133.5711099261</v>
      </c>
      <c r="N118" s="160">
        <f t="shared" si="28"/>
        <v>1364924.3527272397</v>
      </c>
      <c r="O118" s="244">
        <f t="shared" si="28"/>
        <v>1</v>
      </c>
      <c r="P118" s="182">
        <f t="shared" si="28"/>
        <v>495</v>
      </c>
      <c r="Q118" s="236">
        <f t="shared" si="28"/>
        <v>863470.00516499998</v>
      </c>
      <c r="R118" s="236">
        <f t="shared" si="28"/>
        <v>26</v>
      </c>
      <c r="S118" s="209">
        <f t="shared" si="28"/>
        <v>1</v>
      </c>
      <c r="T118" s="209">
        <f t="shared" ref="T118" si="29">+T96+T99+T109</f>
        <v>96.03</v>
      </c>
      <c r="U118" s="1105">
        <f>+U96+U99+U109</f>
        <v>871893.62900000007</v>
      </c>
    </row>
    <row r="119" spans="1:33">
      <c r="A119" s="172"/>
      <c r="B119"/>
      <c r="C119" s="118"/>
      <c r="F119" s="22"/>
      <c r="V119" s="71"/>
    </row>
    <row r="120" spans="1:33">
      <c r="V120" s="71"/>
    </row>
    <row r="121" spans="1:33">
      <c r="V121" s="71"/>
    </row>
    <row r="122" spans="1:33">
      <c r="A122" s="173" t="s">
        <v>328</v>
      </c>
    </row>
    <row r="123" spans="1:33">
      <c r="A123" s="36" t="s">
        <v>155</v>
      </c>
      <c r="B123" s="82" t="s">
        <v>31</v>
      </c>
      <c r="C123" s="1115" t="s">
        <v>585</v>
      </c>
      <c r="D123" s="1117"/>
      <c r="E123" s="1115" t="s">
        <v>1380</v>
      </c>
      <c r="F123" s="1117"/>
      <c r="AG123" s="30"/>
    </row>
    <row r="124" spans="1:33">
      <c r="A124" s="7"/>
      <c r="B124" s="98" t="s">
        <v>32</v>
      </c>
      <c r="C124" s="1115" t="s">
        <v>982</v>
      </c>
      <c r="D124" s="1117"/>
      <c r="E124" s="1115" t="s">
        <v>982</v>
      </c>
      <c r="F124" s="1117"/>
    </row>
    <row r="125" spans="1:33">
      <c r="A125" s="74"/>
      <c r="B125" s="4"/>
      <c r="C125" s="82" t="s">
        <v>1487</v>
      </c>
      <c r="D125" s="82" t="s">
        <v>737</v>
      </c>
      <c r="E125" s="82" t="s">
        <v>1487</v>
      </c>
      <c r="F125" s="82" t="s">
        <v>737</v>
      </c>
    </row>
    <row r="126" spans="1:33">
      <c r="A126" s="206" t="s">
        <v>729</v>
      </c>
      <c r="B126" s="407" t="s">
        <v>728</v>
      </c>
      <c r="C126" s="67">
        <v>367</v>
      </c>
      <c r="D126" s="832">
        <f t="shared" ref="D126:D151" si="30">C126/C$152</f>
        <v>0.87173396674584325</v>
      </c>
      <c r="E126" s="67">
        <v>279</v>
      </c>
      <c r="F126" s="317">
        <f t="shared" ref="F126:F151" si="31">E126/E$152</f>
        <v>1.3811881188118811</v>
      </c>
    </row>
    <row r="127" spans="1:33">
      <c r="A127" s="21" t="s">
        <v>1583</v>
      </c>
      <c r="B127" s="408" t="s">
        <v>1732</v>
      </c>
      <c r="C127" s="22">
        <v>119</v>
      </c>
      <c r="D127" s="833">
        <f t="shared" si="30"/>
        <v>0.28266033254156769</v>
      </c>
      <c r="E127" s="22">
        <v>27</v>
      </c>
      <c r="F127" s="162">
        <f t="shared" si="31"/>
        <v>0.13366336633663367</v>
      </c>
    </row>
    <row r="128" spans="1:33">
      <c r="A128" s="21" t="s">
        <v>1083</v>
      </c>
      <c r="B128" s="408" t="s">
        <v>1731</v>
      </c>
      <c r="C128" s="22">
        <v>82</v>
      </c>
      <c r="D128" s="833">
        <f t="shared" si="30"/>
        <v>0.19477434679334918</v>
      </c>
      <c r="E128" s="22">
        <v>18</v>
      </c>
      <c r="F128" s="162">
        <f t="shared" si="31"/>
        <v>8.9108910891089105E-2</v>
      </c>
    </row>
    <row r="129" spans="1:9">
      <c r="A129" s="21" t="s">
        <v>1508</v>
      </c>
      <c r="B129" s="408" t="s">
        <v>1486</v>
      </c>
      <c r="C129" s="22">
        <v>41</v>
      </c>
      <c r="D129" s="833">
        <f t="shared" si="30"/>
        <v>9.7387173396674589E-2</v>
      </c>
      <c r="E129" s="22">
        <v>1</v>
      </c>
      <c r="F129" s="162">
        <f t="shared" si="31"/>
        <v>4.9504950495049506E-3</v>
      </c>
    </row>
    <row r="130" spans="1:9">
      <c r="A130" s="21" t="s">
        <v>1509</v>
      </c>
      <c r="B130" s="408" t="s">
        <v>896</v>
      </c>
      <c r="C130" s="22">
        <v>41</v>
      </c>
      <c r="D130" s="833">
        <f t="shared" si="30"/>
        <v>9.7387173396674589E-2</v>
      </c>
      <c r="E130" s="22">
        <v>14</v>
      </c>
      <c r="F130" s="162">
        <f t="shared" si="31"/>
        <v>6.9306930693069313E-2</v>
      </c>
      <c r="H130" s="32"/>
    </row>
    <row r="131" spans="1:9">
      <c r="A131" s="21" t="s">
        <v>1315</v>
      </c>
      <c r="B131" s="408" t="s">
        <v>1314</v>
      </c>
      <c r="C131" s="22">
        <v>36</v>
      </c>
      <c r="D131" s="833">
        <f t="shared" si="30"/>
        <v>8.5510688836104506E-2</v>
      </c>
      <c r="E131" s="22">
        <v>29</v>
      </c>
      <c r="F131" s="162">
        <f t="shared" si="31"/>
        <v>0.14356435643564355</v>
      </c>
    </row>
    <row r="132" spans="1:9">
      <c r="A132" s="21" t="s">
        <v>314</v>
      </c>
      <c r="B132" s="408" t="s">
        <v>700</v>
      </c>
      <c r="C132" s="22">
        <v>9</v>
      </c>
      <c r="D132" s="833">
        <f t="shared" si="30"/>
        <v>2.1377672209026127E-2</v>
      </c>
      <c r="E132" s="22">
        <v>2</v>
      </c>
      <c r="F132" s="162">
        <f t="shared" si="31"/>
        <v>9.9009900990099011E-3</v>
      </c>
    </row>
    <row r="133" spans="1:9">
      <c r="A133" s="21" t="s">
        <v>832</v>
      </c>
      <c r="B133" s="408" t="s">
        <v>1550</v>
      </c>
      <c r="C133" s="22">
        <v>3</v>
      </c>
      <c r="D133" s="833">
        <f t="shared" si="30"/>
        <v>7.1258907363420431E-3</v>
      </c>
      <c r="E133" s="22"/>
      <c r="F133" s="162">
        <f t="shared" si="31"/>
        <v>0</v>
      </c>
    </row>
    <row r="134" spans="1:9">
      <c r="A134" s="21" t="s">
        <v>1054</v>
      </c>
      <c r="B134" s="408" t="s">
        <v>698</v>
      </c>
      <c r="C134" s="23">
        <v>2</v>
      </c>
      <c r="D134" s="834">
        <f t="shared" si="30"/>
        <v>4.7505938242280287E-3</v>
      </c>
      <c r="E134" s="22">
        <v>2</v>
      </c>
      <c r="F134" s="162">
        <f t="shared" si="31"/>
        <v>9.9009900990099011E-3</v>
      </c>
    </row>
    <row r="135" spans="1:9">
      <c r="A135" s="831" t="s">
        <v>1086</v>
      </c>
      <c r="B135" s="408" t="s">
        <v>1087</v>
      </c>
      <c r="C135" s="22">
        <v>2</v>
      </c>
      <c r="D135" s="833">
        <f t="shared" si="30"/>
        <v>4.7505938242280287E-3</v>
      </c>
      <c r="E135" s="22">
        <v>5</v>
      </c>
      <c r="F135" s="162">
        <f t="shared" si="31"/>
        <v>2.4752475247524754E-2</v>
      </c>
    </row>
    <row r="136" spans="1:9">
      <c r="A136" s="21" t="s">
        <v>685</v>
      </c>
      <c r="B136" s="408" t="s">
        <v>615</v>
      </c>
      <c r="C136" s="22">
        <v>1</v>
      </c>
      <c r="D136" s="833">
        <f t="shared" si="30"/>
        <v>2.3752969121140144E-3</v>
      </c>
      <c r="E136" s="22"/>
      <c r="F136" s="162">
        <f t="shared" si="31"/>
        <v>0</v>
      </c>
    </row>
    <row r="137" spans="1:9">
      <c r="A137" s="21" t="s">
        <v>831</v>
      </c>
      <c r="B137" s="408" t="s">
        <v>1733</v>
      </c>
      <c r="C137" s="22">
        <v>1</v>
      </c>
      <c r="D137" s="833">
        <f t="shared" si="30"/>
        <v>2.3752969121140144E-3</v>
      </c>
      <c r="E137" s="22"/>
      <c r="F137" s="162">
        <f t="shared" si="31"/>
        <v>0</v>
      </c>
    </row>
    <row r="138" spans="1:9">
      <c r="A138" s="21" t="s">
        <v>1604</v>
      </c>
      <c r="B138" s="408" t="s">
        <v>1018</v>
      </c>
      <c r="C138" s="22">
        <v>1</v>
      </c>
      <c r="D138" s="833">
        <f t="shared" si="30"/>
        <v>2.3752969121140144E-3</v>
      </c>
      <c r="E138" s="22">
        <v>3</v>
      </c>
      <c r="F138" s="162">
        <f t="shared" si="31"/>
        <v>1.4851485148514851E-2</v>
      </c>
    </row>
    <row r="139" spans="1:9">
      <c r="A139" s="21" t="s">
        <v>1378</v>
      </c>
      <c r="B139" s="408" t="s">
        <v>1484</v>
      </c>
      <c r="C139" s="22"/>
      <c r="D139" s="833">
        <f t="shared" si="30"/>
        <v>0</v>
      </c>
      <c r="E139" s="22"/>
      <c r="F139" s="162">
        <f t="shared" si="31"/>
        <v>0</v>
      </c>
    </row>
    <row r="140" spans="1:9">
      <c r="A140" s="21" t="s">
        <v>754</v>
      </c>
      <c r="B140" s="408" t="s">
        <v>641</v>
      </c>
      <c r="C140" s="22"/>
      <c r="D140" s="833">
        <f t="shared" si="30"/>
        <v>0</v>
      </c>
      <c r="E140" s="22"/>
      <c r="F140" s="162">
        <f t="shared" si="31"/>
        <v>0</v>
      </c>
    </row>
    <row r="141" spans="1:9">
      <c r="A141" s="21" t="s">
        <v>851</v>
      </c>
      <c r="B141" s="408" t="s">
        <v>8</v>
      </c>
      <c r="C141" s="22"/>
      <c r="D141" s="833">
        <f t="shared" si="30"/>
        <v>0</v>
      </c>
      <c r="E141" s="22"/>
      <c r="F141" s="162">
        <f t="shared" si="31"/>
        <v>0</v>
      </c>
    </row>
    <row r="142" spans="1:9">
      <c r="A142" s="21" t="s">
        <v>904</v>
      </c>
      <c r="B142" s="408" t="s">
        <v>33</v>
      </c>
      <c r="C142" s="22"/>
      <c r="D142" s="833">
        <f t="shared" si="30"/>
        <v>0</v>
      </c>
      <c r="E142" s="22"/>
      <c r="F142" s="162">
        <f t="shared" si="31"/>
        <v>0</v>
      </c>
    </row>
    <row r="143" spans="1:9">
      <c r="A143" s="21" t="s">
        <v>905</v>
      </c>
      <c r="B143" s="408" t="s">
        <v>35</v>
      </c>
      <c r="C143" s="22"/>
      <c r="D143" s="833">
        <f t="shared" si="30"/>
        <v>0</v>
      </c>
      <c r="E143" s="22"/>
      <c r="F143" s="162">
        <f t="shared" si="31"/>
        <v>0</v>
      </c>
      <c r="I143" t="s">
        <v>1127</v>
      </c>
    </row>
    <row r="144" spans="1:9">
      <c r="A144" s="21" t="s">
        <v>663</v>
      </c>
      <c r="B144" s="408" t="s">
        <v>1383</v>
      </c>
      <c r="C144" s="22"/>
      <c r="D144" s="833">
        <f t="shared" si="30"/>
        <v>0</v>
      </c>
      <c r="E144" s="22"/>
      <c r="F144" s="162">
        <f t="shared" si="31"/>
        <v>0</v>
      </c>
    </row>
    <row r="145" spans="1:6">
      <c r="A145" s="19" t="s">
        <v>18</v>
      </c>
      <c r="B145" s="15" t="s">
        <v>34</v>
      </c>
      <c r="C145" s="22"/>
      <c r="D145" s="833">
        <f t="shared" si="30"/>
        <v>0</v>
      </c>
      <c r="E145" s="22"/>
      <c r="F145" s="162">
        <f t="shared" si="31"/>
        <v>0</v>
      </c>
    </row>
    <row r="146" spans="1:6">
      <c r="A146" s="21" t="s">
        <v>1595</v>
      </c>
      <c r="B146" s="15" t="s">
        <v>36</v>
      </c>
      <c r="C146" s="22"/>
      <c r="D146" s="833">
        <f t="shared" si="30"/>
        <v>0</v>
      </c>
      <c r="E146" s="22"/>
      <c r="F146" s="162">
        <f t="shared" si="31"/>
        <v>0</v>
      </c>
    </row>
    <row r="147" spans="1:6">
      <c r="A147" s="136" t="s">
        <v>1658</v>
      </c>
      <c r="B147" s="294" t="s">
        <v>1658</v>
      </c>
      <c r="C147" s="22"/>
      <c r="D147" s="833">
        <f t="shared" si="30"/>
        <v>0</v>
      </c>
      <c r="E147" s="22">
        <v>42</v>
      </c>
      <c r="F147" s="162">
        <f t="shared" si="31"/>
        <v>0.20792079207920791</v>
      </c>
    </row>
    <row r="148" spans="1:6">
      <c r="A148" s="136" t="s">
        <v>2290</v>
      </c>
      <c r="B148" s="294" t="s">
        <v>2290</v>
      </c>
      <c r="C148" s="22"/>
      <c r="D148" s="833">
        <f t="shared" si="30"/>
        <v>0</v>
      </c>
      <c r="E148" s="22">
        <v>5</v>
      </c>
      <c r="F148" s="162">
        <f t="shared" si="31"/>
        <v>2.4752475247524754E-2</v>
      </c>
    </row>
    <row r="149" spans="1:6">
      <c r="A149" s="136" t="s">
        <v>4075</v>
      </c>
      <c r="B149" s="294" t="s">
        <v>4075</v>
      </c>
      <c r="C149" s="22"/>
      <c r="D149" s="833">
        <f t="shared" si="30"/>
        <v>0</v>
      </c>
      <c r="E149" s="22">
        <v>1</v>
      </c>
      <c r="F149" s="162">
        <f t="shared" si="31"/>
        <v>4.9504950495049506E-3</v>
      </c>
    </row>
    <row r="150" spans="1:6">
      <c r="A150" s="136" t="s">
        <v>4080</v>
      </c>
      <c r="B150" s="294" t="s">
        <v>4080</v>
      </c>
      <c r="C150" s="22"/>
      <c r="D150" s="833">
        <f t="shared" si="30"/>
        <v>0</v>
      </c>
      <c r="E150" s="22">
        <v>3</v>
      </c>
      <c r="F150" s="162">
        <f t="shared" si="31"/>
        <v>1.4851485148514851E-2</v>
      </c>
    </row>
    <row r="151" spans="1:6">
      <c r="A151" s="26" t="s">
        <v>722</v>
      </c>
      <c r="B151" s="16" t="s">
        <v>1084</v>
      </c>
      <c r="C151" s="24">
        <v>83</v>
      </c>
      <c r="D151" s="830">
        <f t="shared" si="30"/>
        <v>0.19714964370546317</v>
      </c>
      <c r="E151" s="24">
        <v>50</v>
      </c>
      <c r="F151" s="163">
        <f t="shared" si="31"/>
        <v>0.24752475247524752</v>
      </c>
    </row>
    <row r="152" spans="1:6">
      <c r="A152" s="20" t="s">
        <v>974</v>
      </c>
      <c r="B152" s="16"/>
      <c r="C152" s="7">
        <f>SUM(C127:C151)</f>
        <v>421</v>
      </c>
      <c r="D152" s="830">
        <f>SUM(D127:D151)</f>
        <v>1</v>
      </c>
      <c r="E152" s="7">
        <f>SUM(E127:E151)</f>
        <v>202</v>
      </c>
      <c r="F152" s="163">
        <f>SUM(F127:F151)</f>
        <v>1</v>
      </c>
    </row>
    <row r="154" spans="1:6">
      <c r="A154" t="s">
        <v>329</v>
      </c>
    </row>
    <row r="155" spans="1:6">
      <c r="A155" s="120" t="s">
        <v>1594</v>
      </c>
      <c r="B155" s="1115" t="s">
        <v>859</v>
      </c>
      <c r="C155" s="1116"/>
      <c r="D155" s="1117"/>
    </row>
    <row r="156" spans="1:6">
      <c r="A156" s="6"/>
      <c r="B156" s="204" t="s">
        <v>586</v>
      </c>
      <c r="C156" s="98" t="s">
        <v>748</v>
      </c>
      <c r="D156" s="75" t="s">
        <v>588</v>
      </c>
    </row>
    <row r="157" spans="1:6">
      <c r="A157" s="5" t="s">
        <v>979</v>
      </c>
      <c r="B157" s="5">
        <v>12</v>
      </c>
      <c r="C157" s="5">
        <v>10</v>
      </c>
      <c r="D157" s="5">
        <f>+B157+C157</f>
        <v>22</v>
      </c>
    </row>
    <row r="158" spans="1:6">
      <c r="A158" s="6" t="s">
        <v>1396</v>
      </c>
      <c r="B158" s="6">
        <v>3</v>
      </c>
      <c r="C158" s="6">
        <v>2</v>
      </c>
      <c r="D158" s="6">
        <f t="shared" ref="D158:D187" si="32">+B158+C158</f>
        <v>5</v>
      </c>
    </row>
    <row r="159" spans="1:6">
      <c r="A159" s="6" t="s">
        <v>610</v>
      </c>
      <c r="B159" s="6">
        <v>1</v>
      </c>
      <c r="C159" s="6"/>
      <c r="D159" s="6">
        <f t="shared" si="32"/>
        <v>1</v>
      </c>
    </row>
    <row r="160" spans="1:6">
      <c r="A160" s="498" t="s">
        <v>1196</v>
      </c>
      <c r="B160" s="6"/>
      <c r="C160" s="6"/>
      <c r="D160" s="6">
        <f t="shared" si="32"/>
        <v>0</v>
      </c>
    </row>
    <row r="161" spans="1:4">
      <c r="A161" s="6" t="s">
        <v>1337</v>
      </c>
      <c r="B161" s="6">
        <v>20</v>
      </c>
      <c r="C161" s="6">
        <v>8</v>
      </c>
      <c r="D161" s="6">
        <f t="shared" si="32"/>
        <v>28</v>
      </c>
    </row>
    <row r="162" spans="1:4">
      <c r="A162" s="6" t="s">
        <v>563</v>
      </c>
      <c r="B162" s="6">
        <v>24</v>
      </c>
      <c r="C162" s="6">
        <v>1</v>
      </c>
      <c r="D162" s="6">
        <f t="shared" si="32"/>
        <v>25</v>
      </c>
    </row>
    <row r="163" spans="1:4">
      <c r="A163" s="6" t="s">
        <v>1598</v>
      </c>
      <c r="B163" s="6">
        <v>11</v>
      </c>
      <c r="C163" s="6">
        <v>4</v>
      </c>
      <c r="D163" s="6">
        <f t="shared" si="32"/>
        <v>15</v>
      </c>
    </row>
    <row r="164" spans="1:4">
      <c r="A164" s="6" t="s">
        <v>1397</v>
      </c>
      <c r="B164" s="6">
        <v>16</v>
      </c>
      <c r="C164" s="6">
        <v>3</v>
      </c>
      <c r="D164" s="6">
        <f t="shared" si="32"/>
        <v>19</v>
      </c>
    </row>
    <row r="165" spans="1:4">
      <c r="A165" s="6" t="s">
        <v>558</v>
      </c>
      <c r="B165" s="6">
        <v>29</v>
      </c>
      <c r="C165" s="6">
        <v>9</v>
      </c>
      <c r="D165" s="6">
        <f t="shared" si="32"/>
        <v>38</v>
      </c>
    </row>
    <row r="166" spans="1:4">
      <c r="A166" s="6" t="s">
        <v>1398</v>
      </c>
      <c r="B166" s="6"/>
      <c r="C166" s="6"/>
      <c r="D166" s="6">
        <f t="shared" si="32"/>
        <v>0</v>
      </c>
    </row>
    <row r="167" spans="1:4">
      <c r="A167" s="6" t="s">
        <v>833</v>
      </c>
      <c r="B167" s="6">
        <v>1</v>
      </c>
      <c r="C167" s="6"/>
      <c r="D167" s="6"/>
    </row>
    <row r="168" spans="1:4">
      <c r="A168" s="6" t="s">
        <v>1399</v>
      </c>
      <c r="B168" s="6"/>
      <c r="C168" s="6"/>
      <c r="D168" s="6">
        <f t="shared" si="32"/>
        <v>0</v>
      </c>
    </row>
    <row r="169" spans="1:4">
      <c r="A169" s="6" t="s">
        <v>1053</v>
      </c>
      <c r="B169" s="6"/>
      <c r="C169" s="6">
        <v>1</v>
      </c>
      <c r="D169" s="6">
        <f t="shared" si="32"/>
        <v>1</v>
      </c>
    </row>
    <row r="170" spans="1:4">
      <c r="A170" s="6" t="s">
        <v>699</v>
      </c>
      <c r="B170" s="6">
        <v>1</v>
      </c>
      <c r="C170" s="6"/>
      <c r="D170" s="6">
        <f t="shared" si="32"/>
        <v>1</v>
      </c>
    </row>
    <row r="171" spans="1:4">
      <c r="A171" s="6" t="s">
        <v>1376</v>
      </c>
      <c r="B171" s="6">
        <v>16</v>
      </c>
      <c r="C171" s="6">
        <v>9</v>
      </c>
      <c r="D171" s="6">
        <f t="shared" si="32"/>
        <v>25</v>
      </c>
    </row>
    <row r="172" spans="1:4">
      <c r="A172" s="6" t="s">
        <v>976</v>
      </c>
      <c r="B172" s="6">
        <v>44</v>
      </c>
      <c r="C172" s="6"/>
      <c r="D172" s="6">
        <f t="shared" si="32"/>
        <v>44</v>
      </c>
    </row>
    <row r="173" spans="1:4">
      <c r="A173" s="498" t="s">
        <v>3353</v>
      </c>
      <c r="B173" s="6"/>
      <c r="C173" s="6"/>
      <c r="D173" s="6">
        <f t="shared" si="32"/>
        <v>0</v>
      </c>
    </row>
    <row r="174" spans="1:4">
      <c r="A174" s="498" t="s">
        <v>879</v>
      </c>
      <c r="B174" s="6">
        <v>2</v>
      </c>
      <c r="C174" s="6"/>
      <c r="D174" s="6">
        <f t="shared" si="32"/>
        <v>2</v>
      </c>
    </row>
    <row r="175" spans="1:4">
      <c r="A175" s="6" t="s">
        <v>1512</v>
      </c>
      <c r="B175" s="6">
        <v>3</v>
      </c>
      <c r="C175" s="6">
        <v>1</v>
      </c>
      <c r="D175" s="6">
        <f t="shared" si="32"/>
        <v>4</v>
      </c>
    </row>
    <row r="176" spans="1:4">
      <c r="A176" s="6" t="s">
        <v>731</v>
      </c>
      <c r="B176" s="6">
        <v>133</v>
      </c>
      <c r="C176" s="6">
        <v>67</v>
      </c>
      <c r="D176" s="6">
        <f t="shared" si="32"/>
        <v>200</v>
      </c>
    </row>
    <row r="177" spans="1:10">
      <c r="A177" s="6" t="s">
        <v>1063</v>
      </c>
      <c r="B177" s="6"/>
      <c r="C177" s="6"/>
      <c r="D177" s="6">
        <f t="shared" si="32"/>
        <v>0</v>
      </c>
    </row>
    <row r="178" spans="1:10">
      <c r="A178" s="6" t="s">
        <v>1513</v>
      </c>
      <c r="B178" s="6">
        <v>1</v>
      </c>
      <c r="C178" s="6">
        <v>1</v>
      </c>
      <c r="D178" s="6">
        <f t="shared" si="32"/>
        <v>2</v>
      </c>
    </row>
    <row r="179" spans="1:10">
      <c r="A179" s="498" t="s">
        <v>847</v>
      </c>
      <c r="B179" s="6">
        <v>11</v>
      </c>
      <c r="C179" s="6"/>
      <c r="D179" s="6"/>
    </row>
    <row r="180" spans="1:10">
      <c r="A180" s="8" t="s">
        <v>1514</v>
      </c>
      <c r="B180" s="6"/>
      <c r="C180" s="6"/>
      <c r="D180" s="6">
        <f t="shared" si="32"/>
        <v>0</v>
      </c>
    </row>
    <row r="181" spans="1:10">
      <c r="A181" s="8" t="s">
        <v>749</v>
      </c>
      <c r="B181" s="6">
        <v>2</v>
      </c>
      <c r="C181" s="6">
        <v>6</v>
      </c>
      <c r="D181" s="6">
        <f t="shared" si="32"/>
        <v>8</v>
      </c>
    </row>
    <row r="182" spans="1:10">
      <c r="A182" s="8" t="s">
        <v>978</v>
      </c>
      <c r="B182" s="6">
        <v>15</v>
      </c>
      <c r="C182" s="6">
        <v>8</v>
      </c>
      <c r="D182" s="6">
        <f t="shared" si="32"/>
        <v>23</v>
      </c>
    </row>
    <row r="183" spans="1:10">
      <c r="A183" s="8" t="s">
        <v>853</v>
      </c>
      <c r="B183" s="6">
        <v>110</v>
      </c>
      <c r="C183" s="6">
        <v>21</v>
      </c>
      <c r="D183" s="6">
        <f t="shared" si="32"/>
        <v>131</v>
      </c>
    </row>
    <row r="184" spans="1:10">
      <c r="A184" s="8" t="s">
        <v>1310</v>
      </c>
      <c r="B184" s="6">
        <v>35</v>
      </c>
      <c r="C184" s="6">
        <v>36</v>
      </c>
      <c r="D184" s="6">
        <f t="shared" si="32"/>
        <v>71</v>
      </c>
    </row>
    <row r="185" spans="1:10">
      <c r="A185" s="8" t="s">
        <v>30</v>
      </c>
      <c r="B185" s="6">
        <v>1</v>
      </c>
      <c r="C185" s="6">
        <v>10</v>
      </c>
      <c r="D185" s="6">
        <f t="shared" si="32"/>
        <v>11</v>
      </c>
    </row>
    <row r="186" spans="1:10">
      <c r="A186" s="8" t="s">
        <v>504</v>
      </c>
      <c r="B186" s="6">
        <v>8</v>
      </c>
      <c r="C186" s="6"/>
      <c r="D186" s="6"/>
    </row>
    <row r="187" spans="1:10">
      <c r="A187" s="9" t="s">
        <v>1084</v>
      </c>
      <c r="B187" s="6">
        <v>74</v>
      </c>
      <c r="C187" s="6">
        <v>55</v>
      </c>
      <c r="D187" s="7">
        <f t="shared" si="32"/>
        <v>129</v>
      </c>
    </row>
    <row r="188" spans="1:10">
      <c r="A188" s="38" t="s">
        <v>974</v>
      </c>
      <c r="B188" s="80">
        <f>SUM(B157:B187)</f>
        <v>573</v>
      </c>
      <c r="C188" s="80">
        <f>SUM(C157:C187)</f>
        <v>252</v>
      </c>
      <c r="D188" s="80">
        <f>SUM(D157:D187)</f>
        <v>805</v>
      </c>
    </row>
    <row r="189" spans="1:10">
      <c r="A189" s="83" t="s">
        <v>297</v>
      </c>
      <c r="B189" s="97"/>
    </row>
    <row r="190" spans="1:10">
      <c r="A190" s="83"/>
      <c r="B190" s="97"/>
    </row>
    <row r="191" spans="1:10">
      <c r="A191" s="23" t="s">
        <v>147</v>
      </c>
    </row>
    <row r="192" spans="1:10">
      <c r="A192" s="329" t="s">
        <v>190</v>
      </c>
      <c r="B192" s="1115" t="s">
        <v>1226</v>
      </c>
      <c r="C192" s="1116"/>
      <c r="D192" s="1117"/>
      <c r="E192" s="1115" t="s">
        <v>1227</v>
      </c>
      <c r="F192" s="1116"/>
      <c r="G192" s="1116"/>
      <c r="H192" s="1115" t="s">
        <v>974</v>
      </c>
      <c r="I192" s="1116"/>
      <c r="J192" s="1117"/>
    </row>
    <row r="193" spans="1:10">
      <c r="A193" s="36" t="s">
        <v>860</v>
      </c>
      <c r="B193" s="121" t="s">
        <v>1052</v>
      </c>
      <c r="C193" s="82" t="s">
        <v>319</v>
      </c>
      <c r="D193" s="82" t="s">
        <v>718</v>
      </c>
      <c r="E193" s="121" t="s">
        <v>1052</v>
      </c>
      <c r="F193" s="82" t="s">
        <v>319</v>
      </c>
      <c r="G193" s="82" t="s">
        <v>718</v>
      </c>
      <c r="H193" s="84" t="s">
        <v>1052</v>
      </c>
      <c r="I193" s="204" t="s">
        <v>319</v>
      </c>
      <c r="J193" s="82" t="s">
        <v>718</v>
      </c>
    </row>
    <row r="194" spans="1:10">
      <c r="A194" s="37"/>
      <c r="B194" s="84" t="s">
        <v>1402</v>
      </c>
      <c r="C194" s="204" t="s">
        <v>747</v>
      </c>
      <c r="D194" s="98" t="s">
        <v>319</v>
      </c>
      <c r="E194" s="84" t="s">
        <v>1402</v>
      </c>
      <c r="F194" s="204" t="s">
        <v>747</v>
      </c>
      <c r="G194" s="98" t="s">
        <v>319</v>
      </c>
      <c r="H194" s="84" t="s">
        <v>1402</v>
      </c>
      <c r="I194" s="204" t="s">
        <v>747</v>
      </c>
      <c r="J194" s="98" t="s">
        <v>319</v>
      </c>
    </row>
    <row r="195" spans="1:10">
      <c r="A195" s="120" t="s">
        <v>625</v>
      </c>
      <c r="B195" s="247">
        <f t="shared" ref="B195:G195" si="33">+B196+B197</f>
        <v>346</v>
      </c>
      <c r="C195" s="267">
        <f t="shared" si="33"/>
        <v>212885.1022710088</v>
      </c>
      <c r="D195" s="267">
        <f t="shared" si="33"/>
        <v>771209.22420500009</v>
      </c>
      <c r="E195" s="247">
        <f>+E196+E197</f>
        <v>157</v>
      </c>
      <c r="F195" s="267">
        <f>+F196+F197</f>
        <v>61366.351818502415</v>
      </c>
      <c r="G195" s="267">
        <f t="shared" si="33"/>
        <v>10704.142</v>
      </c>
      <c r="H195" s="247">
        <f>+H196+H197</f>
        <v>503</v>
      </c>
      <c r="I195" s="267">
        <f>+I196+I197</f>
        <v>274251.45408951119</v>
      </c>
      <c r="J195" s="267">
        <f>+J196+J197</f>
        <v>781913.36620500009</v>
      </c>
    </row>
    <row r="196" spans="1:10">
      <c r="A196" s="125" t="s">
        <v>1176</v>
      </c>
      <c r="B196" s="42">
        <v>96</v>
      </c>
      <c r="C196" s="268">
        <v>75120.491946118476</v>
      </c>
      <c r="D196" s="33">
        <v>264657.92727500002</v>
      </c>
      <c r="E196" s="42">
        <v>86</v>
      </c>
      <c r="F196" s="268">
        <v>38103.443121111115</v>
      </c>
      <c r="G196" s="33">
        <v>519.51199999999994</v>
      </c>
      <c r="H196" s="268">
        <f t="shared" ref="H196:J197" si="34">+B196+E196</f>
        <v>182</v>
      </c>
      <c r="I196" s="268">
        <f t="shared" si="34"/>
        <v>113223.93506722958</v>
      </c>
      <c r="J196" s="268">
        <f t="shared" si="34"/>
        <v>265177.43927500001</v>
      </c>
    </row>
    <row r="197" spans="1:10">
      <c r="A197" s="125" t="s">
        <v>707</v>
      </c>
      <c r="B197" s="42">
        <v>250</v>
      </c>
      <c r="C197" s="268">
        <v>137764.61032489032</v>
      </c>
      <c r="D197" s="34">
        <v>506551.29693000013</v>
      </c>
      <c r="E197" s="42">
        <v>71</v>
      </c>
      <c r="F197" s="268">
        <v>23262.9086973913</v>
      </c>
      <c r="G197" s="34">
        <v>10184.629999999999</v>
      </c>
      <c r="H197" s="268">
        <f t="shared" si="34"/>
        <v>321</v>
      </c>
      <c r="I197" s="268">
        <f t="shared" si="34"/>
        <v>161027.51902228163</v>
      </c>
      <c r="J197" s="268">
        <f t="shared" si="34"/>
        <v>516735.92693000013</v>
      </c>
    </row>
    <row r="198" spans="1:10">
      <c r="A198" s="36" t="s">
        <v>396</v>
      </c>
      <c r="B198" s="247">
        <f t="shared" ref="B198:G198" si="35">SUM(B199:B207)</f>
        <v>164</v>
      </c>
      <c r="C198" s="271">
        <f t="shared" si="35"/>
        <v>14637.608439708732</v>
      </c>
      <c r="D198" s="267">
        <f t="shared" si="35"/>
        <v>39764.564000000006</v>
      </c>
      <c r="E198" s="247">
        <f>SUM(E199:E207)</f>
        <v>44</v>
      </c>
      <c r="F198" s="274">
        <f>SUM(F199:F207)</f>
        <v>5598.78</v>
      </c>
      <c r="G198" s="267">
        <f t="shared" si="35"/>
        <v>13300.734</v>
      </c>
      <c r="H198" s="267">
        <f>SUM(H199:H207)</f>
        <v>208</v>
      </c>
      <c r="I198" s="274">
        <f>SUM(I199:I207)</f>
        <v>20236.388439708731</v>
      </c>
      <c r="J198" s="274">
        <f>SUM(J199:J207)</f>
        <v>53065.298000000003</v>
      </c>
    </row>
    <row r="199" spans="1:10">
      <c r="A199" s="46" t="s">
        <v>573</v>
      </c>
      <c r="B199" s="42">
        <v>29</v>
      </c>
      <c r="C199" s="276">
        <v>2882.1764666666663</v>
      </c>
      <c r="D199" s="33">
        <v>6851.2410000000009</v>
      </c>
      <c r="E199" s="42">
        <v>9</v>
      </c>
      <c r="F199" s="277">
        <v>731.83750000000009</v>
      </c>
      <c r="G199" s="33">
        <v>98.18</v>
      </c>
      <c r="H199" s="268">
        <f t="shared" ref="H199:H207" si="36">+B199+E199</f>
        <v>38</v>
      </c>
      <c r="I199" s="268">
        <f t="shared" ref="I199:I207" si="37">+C199+F199</f>
        <v>3614.0139666666664</v>
      </c>
      <c r="J199" s="268">
        <f t="shared" ref="J199:J207" si="38">+D199+G199</f>
        <v>6949.4210000000012</v>
      </c>
    </row>
    <row r="200" spans="1:10">
      <c r="A200" s="46" t="s">
        <v>265</v>
      </c>
      <c r="B200" s="42">
        <v>58</v>
      </c>
      <c r="C200" s="276">
        <v>1255.4987384615383</v>
      </c>
      <c r="D200" s="33">
        <v>607.38499999999988</v>
      </c>
      <c r="E200" s="42">
        <v>1</v>
      </c>
      <c r="F200" s="277">
        <v>33.441000000000003</v>
      </c>
      <c r="G200" s="33">
        <v>0</v>
      </c>
      <c r="H200" s="268">
        <f t="shared" si="36"/>
        <v>59</v>
      </c>
      <c r="I200" s="268">
        <f t="shared" si="37"/>
        <v>1288.9397384615384</v>
      </c>
      <c r="J200" s="268">
        <f t="shared" si="38"/>
        <v>607.38499999999988</v>
      </c>
    </row>
    <row r="201" spans="1:10">
      <c r="A201" s="46" t="s">
        <v>1587</v>
      </c>
      <c r="B201" s="42">
        <v>17</v>
      </c>
      <c r="C201" s="276">
        <v>2923.9019642857147</v>
      </c>
      <c r="D201" s="33">
        <v>4266.0870000000004</v>
      </c>
      <c r="E201" s="42">
        <v>4</v>
      </c>
      <c r="F201" s="277">
        <v>2118.0434</v>
      </c>
      <c r="G201" s="33">
        <v>4671.5689999999995</v>
      </c>
      <c r="H201" s="268">
        <f t="shared" si="36"/>
        <v>21</v>
      </c>
      <c r="I201" s="268">
        <f t="shared" si="37"/>
        <v>5041.9453642857152</v>
      </c>
      <c r="J201" s="268">
        <f t="shared" si="38"/>
        <v>8937.655999999999</v>
      </c>
    </row>
    <row r="202" spans="1:10">
      <c r="A202" s="46" t="s">
        <v>847</v>
      </c>
      <c r="B202" s="42">
        <v>36</v>
      </c>
      <c r="C202" s="276">
        <v>5138.3086480725888</v>
      </c>
      <c r="D202" s="33">
        <v>20047.769</v>
      </c>
      <c r="E202" s="42">
        <v>4</v>
      </c>
      <c r="F202" s="277">
        <v>234.54999999999998</v>
      </c>
      <c r="G202" s="33">
        <v>0</v>
      </c>
      <c r="H202" s="268">
        <f t="shared" si="36"/>
        <v>40</v>
      </c>
      <c r="I202" s="268">
        <f t="shared" si="37"/>
        <v>5372.8586480725889</v>
      </c>
      <c r="J202" s="268">
        <f t="shared" si="38"/>
        <v>20047.769</v>
      </c>
    </row>
    <row r="203" spans="1:10">
      <c r="A203" s="46" t="s">
        <v>833</v>
      </c>
      <c r="B203" s="42">
        <v>11</v>
      </c>
      <c r="C203" s="276">
        <v>1953.3384222222221</v>
      </c>
      <c r="D203" s="33">
        <v>7174.6059999999998</v>
      </c>
      <c r="E203" s="42">
        <v>2</v>
      </c>
      <c r="F203" s="277">
        <v>141.9631</v>
      </c>
      <c r="G203" s="33">
        <v>0</v>
      </c>
      <c r="H203" s="268">
        <f t="shared" si="36"/>
        <v>13</v>
      </c>
      <c r="I203" s="268">
        <f t="shared" si="37"/>
        <v>2095.301522222222</v>
      </c>
      <c r="J203" s="268">
        <f t="shared" si="38"/>
        <v>7174.6059999999998</v>
      </c>
    </row>
    <row r="204" spans="1:10">
      <c r="A204" s="46" t="s">
        <v>975</v>
      </c>
      <c r="B204" s="42">
        <v>12</v>
      </c>
      <c r="C204" s="276">
        <v>424.25120000000004</v>
      </c>
      <c r="D204" s="33">
        <v>817.47599999999989</v>
      </c>
      <c r="E204" s="42">
        <v>2</v>
      </c>
      <c r="F204" s="277">
        <v>136.858</v>
      </c>
      <c r="G204" s="33">
        <v>0</v>
      </c>
      <c r="H204" s="268">
        <f t="shared" si="36"/>
        <v>14</v>
      </c>
      <c r="I204" s="268">
        <f t="shared" si="37"/>
        <v>561.1092000000001</v>
      </c>
      <c r="J204" s="268">
        <f t="shared" si="38"/>
        <v>817.47599999999989</v>
      </c>
    </row>
    <row r="205" spans="1:10">
      <c r="A205" s="255" t="s">
        <v>976</v>
      </c>
      <c r="B205" s="42">
        <v>1</v>
      </c>
      <c r="C205" s="276">
        <v>60.133000000000003</v>
      </c>
      <c r="D205" s="33">
        <v>0</v>
      </c>
      <c r="E205" s="42">
        <v>0</v>
      </c>
      <c r="F205" s="277">
        <v>0</v>
      </c>
      <c r="G205" s="33">
        <v>0</v>
      </c>
      <c r="H205" s="268">
        <f t="shared" si="36"/>
        <v>1</v>
      </c>
      <c r="I205" s="268">
        <f t="shared" si="37"/>
        <v>60.133000000000003</v>
      </c>
      <c r="J205" s="268">
        <f t="shared" si="38"/>
        <v>0</v>
      </c>
    </row>
    <row r="206" spans="1:10">
      <c r="A206" s="46" t="s">
        <v>879</v>
      </c>
      <c r="B206" s="42">
        <v>0</v>
      </c>
      <c r="C206" s="276">
        <v>0</v>
      </c>
      <c r="D206" s="33">
        <v>0</v>
      </c>
      <c r="E206" s="42">
        <v>20</v>
      </c>
      <c r="F206" s="277">
        <v>2172.0429999999997</v>
      </c>
      <c r="G206" s="33">
        <v>8530.9850000000006</v>
      </c>
      <c r="H206" s="268">
        <f t="shared" si="36"/>
        <v>20</v>
      </c>
      <c r="I206" s="268">
        <f t="shared" si="37"/>
        <v>2172.0429999999997</v>
      </c>
      <c r="J206" s="268">
        <f t="shared" si="38"/>
        <v>8530.9850000000006</v>
      </c>
    </row>
    <row r="207" spans="1:10">
      <c r="A207" s="44" t="s">
        <v>834</v>
      </c>
      <c r="B207" s="43">
        <v>0</v>
      </c>
      <c r="C207" s="331">
        <v>0</v>
      </c>
      <c r="D207" s="34">
        <v>0</v>
      </c>
      <c r="E207" s="43">
        <v>2</v>
      </c>
      <c r="F207" s="333">
        <v>30.044</v>
      </c>
      <c r="G207" s="34">
        <v>0</v>
      </c>
      <c r="H207" s="269">
        <f t="shared" si="36"/>
        <v>2</v>
      </c>
      <c r="I207" s="269">
        <f t="shared" si="37"/>
        <v>30.044</v>
      </c>
      <c r="J207" s="269">
        <f t="shared" si="38"/>
        <v>0</v>
      </c>
    </row>
    <row r="208" spans="1:10">
      <c r="A208" s="39" t="s">
        <v>1549</v>
      </c>
      <c r="B208" s="332">
        <f>SUM(B209:B216)</f>
        <v>45</v>
      </c>
      <c r="C208" s="386">
        <f t="shared" ref="C208:J208" si="39">SUM(C209:C216)</f>
        <v>8588.224580706179</v>
      </c>
      <c r="D208" s="386">
        <f t="shared" si="39"/>
        <v>27151.44096</v>
      </c>
      <c r="E208" s="386">
        <f t="shared" si="39"/>
        <v>5</v>
      </c>
      <c r="F208" s="386">
        <f t="shared" si="39"/>
        <v>1057.5039999999999</v>
      </c>
      <c r="G208" s="386">
        <f t="shared" si="39"/>
        <v>1339.8999999999999</v>
      </c>
      <c r="H208" s="386">
        <f t="shared" si="39"/>
        <v>50</v>
      </c>
      <c r="I208" s="386">
        <f t="shared" si="39"/>
        <v>9645.7285807061799</v>
      </c>
      <c r="J208" s="386">
        <f t="shared" si="39"/>
        <v>28491.340960000001</v>
      </c>
    </row>
    <row r="209" spans="1:10">
      <c r="A209" s="219" t="s">
        <v>1396</v>
      </c>
      <c r="B209" s="332">
        <v>2</v>
      </c>
      <c r="C209" s="849">
        <v>198.947</v>
      </c>
      <c r="D209" s="386">
        <v>400.03399999999999</v>
      </c>
      <c r="E209" s="332">
        <v>0</v>
      </c>
      <c r="F209" s="386">
        <v>0</v>
      </c>
      <c r="G209" s="386">
        <v>0</v>
      </c>
      <c r="H209" s="268">
        <f t="shared" ref="H209" si="40">+B209+E209</f>
        <v>2</v>
      </c>
      <c r="I209" s="268">
        <f t="shared" ref="I209" si="41">+C209+F209</f>
        <v>198.947</v>
      </c>
      <c r="J209" s="268">
        <f t="shared" ref="J209" si="42">+D209+G209</f>
        <v>400.03399999999999</v>
      </c>
    </row>
    <row r="210" spans="1:10">
      <c r="A210" s="125" t="s">
        <v>558</v>
      </c>
      <c r="B210" s="2">
        <v>12</v>
      </c>
      <c r="C210" s="272">
        <v>4474.8753846153841</v>
      </c>
      <c r="D210" s="33">
        <v>13502.089</v>
      </c>
      <c r="E210" s="2">
        <v>1</v>
      </c>
      <c r="F210" s="175">
        <v>57.347999999999999</v>
      </c>
      <c r="G210" s="33">
        <v>0</v>
      </c>
      <c r="H210" s="268">
        <f t="shared" ref="H210:J216" si="43">+B210+E210</f>
        <v>13</v>
      </c>
      <c r="I210" s="268">
        <f t="shared" si="43"/>
        <v>4532.223384615384</v>
      </c>
      <c r="J210" s="268">
        <f t="shared" si="43"/>
        <v>13502.089</v>
      </c>
    </row>
    <row r="211" spans="1:10">
      <c r="A211" s="219" t="s">
        <v>1598</v>
      </c>
      <c r="B211" s="2">
        <v>3</v>
      </c>
      <c r="C211" s="272">
        <v>168.54900000000001</v>
      </c>
      <c r="D211" s="33">
        <v>971.92599999999993</v>
      </c>
      <c r="E211" s="2">
        <v>0</v>
      </c>
      <c r="F211" s="175">
        <v>0</v>
      </c>
      <c r="G211" s="33">
        <v>0</v>
      </c>
      <c r="H211" s="268">
        <f t="shared" si="43"/>
        <v>3</v>
      </c>
      <c r="I211" s="268">
        <f t="shared" si="43"/>
        <v>168.54900000000001</v>
      </c>
      <c r="J211" s="268">
        <f t="shared" si="43"/>
        <v>971.92599999999993</v>
      </c>
    </row>
    <row r="212" spans="1:10">
      <c r="A212" s="125" t="s">
        <v>1397</v>
      </c>
      <c r="B212" s="2">
        <v>17</v>
      </c>
      <c r="C212" s="272">
        <v>2829.524796090795</v>
      </c>
      <c r="D212" s="33">
        <v>9183.3954600000015</v>
      </c>
      <c r="E212" s="2">
        <v>0</v>
      </c>
      <c r="F212" s="175">
        <v>0</v>
      </c>
      <c r="G212" s="33">
        <v>0</v>
      </c>
      <c r="H212" s="268">
        <f t="shared" si="43"/>
        <v>17</v>
      </c>
      <c r="I212" s="268">
        <f t="shared" si="43"/>
        <v>2829.524796090795</v>
      </c>
      <c r="J212" s="268">
        <f t="shared" si="43"/>
        <v>9183.3954600000015</v>
      </c>
    </row>
    <row r="213" spans="1:10">
      <c r="A213" s="219" t="s">
        <v>1398</v>
      </c>
      <c r="B213" s="2">
        <v>0</v>
      </c>
      <c r="C213" s="272">
        <v>0</v>
      </c>
      <c r="D213" s="33">
        <v>0</v>
      </c>
      <c r="E213" s="2">
        <v>2</v>
      </c>
      <c r="F213" s="175">
        <v>559.029</v>
      </c>
      <c r="G213" s="33">
        <v>0</v>
      </c>
      <c r="H213" s="268">
        <f t="shared" si="43"/>
        <v>2</v>
      </c>
      <c r="I213" s="268">
        <f t="shared" ref="I213" si="44">+C213+F213</f>
        <v>559.029</v>
      </c>
      <c r="J213" s="268">
        <f t="shared" ref="J213" si="45">+D213+G213</f>
        <v>0</v>
      </c>
    </row>
    <row r="214" spans="1:10">
      <c r="A214" s="219" t="s">
        <v>749</v>
      </c>
      <c r="B214" s="2">
        <v>3</v>
      </c>
      <c r="C214" s="272">
        <v>164.089</v>
      </c>
      <c r="D214" s="33">
        <v>0</v>
      </c>
      <c r="E214" s="2">
        <v>0</v>
      </c>
      <c r="F214" s="175">
        <v>0</v>
      </c>
      <c r="G214" s="33">
        <v>0</v>
      </c>
      <c r="H214" s="268">
        <f t="shared" si="43"/>
        <v>3</v>
      </c>
      <c r="I214" s="268">
        <f t="shared" si="43"/>
        <v>164.089</v>
      </c>
      <c r="J214" s="268">
        <f t="shared" si="43"/>
        <v>0</v>
      </c>
    </row>
    <row r="215" spans="1:10">
      <c r="A215" s="125" t="s">
        <v>978</v>
      </c>
      <c r="B215" s="2">
        <v>0</v>
      </c>
      <c r="C215" s="272">
        <v>0</v>
      </c>
      <c r="D215" s="33">
        <v>0</v>
      </c>
      <c r="E215" s="2">
        <v>2</v>
      </c>
      <c r="F215" s="175">
        <v>441.12700000000001</v>
      </c>
      <c r="G215" s="33">
        <v>1339.8999999999999</v>
      </c>
      <c r="H215" s="268">
        <f t="shared" si="43"/>
        <v>2</v>
      </c>
      <c r="I215" s="268">
        <f t="shared" si="43"/>
        <v>441.12700000000001</v>
      </c>
      <c r="J215" s="268">
        <f t="shared" si="43"/>
        <v>1339.8999999999999</v>
      </c>
    </row>
    <row r="216" spans="1:10">
      <c r="A216" s="128" t="s">
        <v>1063</v>
      </c>
      <c r="B216" s="43">
        <v>8</v>
      </c>
      <c r="C216" s="331">
        <v>752.23939999999993</v>
      </c>
      <c r="D216" s="34">
        <v>3093.9965000000002</v>
      </c>
      <c r="E216" s="43">
        <v>0</v>
      </c>
      <c r="F216" s="269">
        <v>0</v>
      </c>
      <c r="G216" s="34">
        <v>0</v>
      </c>
      <c r="H216" s="269">
        <f t="shared" si="43"/>
        <v>8</v>
      </c>
      <c r="I216" s="269">
        <f t="shared" si="43"/>
        <v>752.23939999999993</v>
      </c>
      <c r="J216" s="269">
        <f t="shared" si="43"/>
        <v>3093.9965000000002</v>
      </c>
    </row>
    <row r="217" spans="1:10">
      <c r="A217" s="304" t="s">
        <v>626</v>
      </c>
      <c r="B217" s="266">
        <f t="shared" ref="B217:G217" si="46">+B195+B198+B208</f>
        <v>555</v>
      </c>
      <c r="C217" s="296">
        <f t="shared" si="46"/>
        <v>236110.93529142372</v>
      </c>
      <c r="D217" s="360">
        <f t="shared" si="46"/>
        <v>838125.22916500014</v>
      </c>
      <c r="E217" s="266">
        <f>+E195+E198+E208</f>
        <v>206</v>
      </c>
      <c r="F217" s="270">
        <f>+F195+F198+F208</f>
        <v>68022.635818502415</v>
      </c>
      <c r="G217" s="360">
        <f t="shared" si="46"/>
        <v>25344.776000000002</v>
      </c>
      <c r="H217" s="266">
        <f>+H195+H198+H208</f>
        <v>761</v>
      </c>
      <c r="I217" s="270">
        <f>+I195+I198+I208</f>
        <v>304133.5711099261</v>
      </c>
      <c r="J217" s="270">
        <f>+J195+J198+J208</f>
        <v>863470.00516499998</v>
      </c>
    </row>
    <row r="218" spans="1:10">
      <c r="A218" s="249" t="s">
        <v>28</v>
      </c>
      <c r="B218" s="265">
        <v>19</v>
      </c>
    </row>
    <row r="219" spans="1:10">
      <c r="A219" s="363" t="s">
        <v>29</v>
      </c>
      <c r="B219" s="362">
        <f>+B217+B218</f>
        <v>574</v>
      </c>
    </row>
    <row r="220" spans="1:10">
      <c r="A220" s="22"/>
    </row>
    <row r="221" spans="1:10">
      <c r="A221" s="22"/>
      <c r="B221" s="97"/>
    </row>
    <row r="222" spans="1:10">
      <c r="A222" s="22"/>
      <c r="B222" s="97"/>
    </row>
    <row r="223" spans="1:10">
      <c r="A223" s="22"/>
      <c r="B223" s="97"/>
    </row>
    <row r="224" spans="1:10">
      <c r="A224" s="22"/>
      <c r="B224" s="97"/>
    </row>
    <row r="225" spans="1:2">
      <c r="A225" s="22"/>
      <c r="B225" s="97"/>
    </row>
    <row r="226" spans="1:2">
      <c r="A226" s="22"/>
      <c r="B226" s="97"/>
    </row>
    <row r="227" spans="1:2">
      <c r="A227" s="22"/>
      <c r="B227" s="97"/>
    </row>
    <row r="228" spans="1:2">
      <c r="A228" s="22"/>
      <c r="B228" s="97"/>
    </row>
    <row r="229" spans="1:2">
      <c r="A229" s="22"/>
      <c r="B229" s="97"/>
    </row>
    <row r="230" spans="1:2">
      <c r="A230" s="22"/>
      <c r="B230" s="97"/>
    </row>
    <row r="231" spans="1:2">
      <c r="A231" s="22"/>
      <c r="B231" s="97"/>
    </row>
    <row r="232" spans="1:2">
      <c r="A232" s="22"/>
      <c r="B232" s="97"/>
    </row>
    <row r="233" spans="1:2">
      <c r="A233" s="22"/>
      <c r="B233" s="97"/>
    </row>
    <row r="234" spans="1:2">
      <c r="A234" s="22"/>
      <c r="B234" s="97"/>
    </row>
    <row r="235" spans="1:2">
      <c r="A235" s="22"/>
      <c r="B235" s="97"/>
    </row>
    <row r="236" spans="1:2">
      <c r="A236" s="22"/>
      <c r="B236" s="97"/>
    </row>
    <row r="237" spans="1:2">
      <c r="A237" s="22"/>
      <c r="B237" s="97"/>
    </row>
    <row r="238" spans="1:2">
      <c r="A238" s="22"/>
      <c r="B238" s="97"/>
    </row>
    <row r="239" spans="1:2">
      <c r="A239" s="22"/>
      <c r="B239" s="97"/>
    </row>
    <row r="240" spans="1:2">
      <c r="A240" s="22"/>
      <c r="B240" s="97"/>
    </row>
    <row r="241" spans="1:2">
      <c r="A241" s="22"/>
      <c r="B241" s="97"/>
    </row>
    <row r="242" spans="1:2">
      <c r="A242" s="22"/>
      <c r="B242" s="97"/>
    </row>
    <row r="243" spans="1:2">
      <c r="A243" s="22"/>
      <c r="B243" s="97"/>
    </row>
    <row r="244" spans="1:2">
      <c r="A244" s="22"/>
      <c r="B244" s="97"/>
    </row>
    <row r="245" spans="1:2">
      <c r="A245" s="22"/>
      <c r="B245" s="97"/>
    </row>
    <row r="246" spans="1:2">
      <c r="A246" s="22"/>
      <c r="B246" s="97"/>
    </row>
    <row r="247" spans="1:2">
      <c r="A247" s="22"/>
      <c r="B247" s="97"/>
    </row>
    <row r="248" spans="1:2">
      <c r="A248" s="22"/>
      <c r="B248" s="97"/>
    </row>
    <row r="249" spans="1:2">
      <c r="A249" s="22"/>
      <c r="B249" s="97"/>
    </row>
    <row r="250" spans="1:2">
      <c r="A250" s="22"/>
      <c r="B250" s="97"/>
    </row>
    <row r="251" spans="1:2">
      <c r="A251" s="22"/>
      <c r="B251" s="97"/>
    </row>
    <row r="252" spans="1:2">
      <c r="A252" s="22"/>
      <c r="B252" s="97"/>
    </row>
    <row r="253" spans="1:2">
      <c r="A253" s="22"/>
      <c r="B253" s="97"/>
    </row>
    <row r="254" spans="1:2">
      <c r="A254" s="22"/>
      <c r="B254" s="97"/>
    </row>
    <row r="255" spans="1:2">
      <c r="A255" s="22"/>
      <c r="B255" s="97"/>
    </row>
    <row r="256" spans="1:2">
      <c r="A256" s="22"/>
      <c r="B256" s="97"/>
    </row>
    <row r="257" spans="1:2">
      <c r="A257" s="22"/>
      <c r="B257" s="97"/>
    </row>
    <row r="258" spans="1:2">
      <c r="A258" s="22"/>
      <c r="B258" s="97"/>
    </row>
    <row r="259" spans="1:2">
      <c r="A259" s="22"/>
      <c r="B259" s="97"/>
    </row>
    <row r="260" spans="1:2">
      <c r="A260" s="22"/>
      <c r="B260" s="97"/>
    </row>
    <row r="261" spans="1:2">
      <c r="A261" s="22"/>
      <c r="B261" s="97"/>
    </row>
    <row r="262" spans="1:2">
      <c r="A262" s="22"/>
      <c r="B262" s="97"/>
    </row>
    <row r="263" spans="1:2">
      <c r="A263" s="22"/>
      <c r="B263" s="97"/>
    </row>
    <row r="264" spans="1:2">
      <c r="A264" s="22"/>
      <c r="B264" s="97"/>
    </row>
    <row r="265" spans="1:2">
      <c r="A265" s="22"/>
      <c r="B265" s="97"/>
    </row>
    <row r="266" spans="1:2">
      <c r="A266" s="22"/>
      <c r="B266" s="97"/>
    </row>
    <row r="267" spans="1:2">
      <c r="A267" s="22"/>
      <c r="B267" s="97"/>
    </row>
    <row r="268" spans="1:2">
      <c r="A268" s="22"/>
      <c r="B268" s="97"/>
    </row>
    <row r="269" spans="1:2">
      <c r="A269" s="22"/>
      <c r="B269" s="97"/>
    </row>
    <row r="270" spans="1:2">
      <c r="A270" s="22"/>
      <c r="B270" s="97"/>
    </row>
    <row r="271" spans="1:2">
      <c r="A271" s="22"/>
      <c r="B271" s="97"/>
    </row>
    <row r="272" spans="1:2">
      <c r="A272" s="22"/>
      <c r="B272" s="97"/>
    </row>
    <row r="273" spans="1:2">
      <c r="A273" s="22"/>
      <c r="B273" s="97"/>
    </row>
    <row r="274" spans="1:2">
      <c r="A274" s="22"/>
      <c r="B274" s="97"/>
    </row>
    <row r="275" spans="1:2">
      <c r="A275" s="22"/>
      <c r="B275" s="97"/>
    </row>
    <row r="276" spans="1:2">
      <c r="A276" s="22"/>
      <c r="B276" s="97"/>
    </row>
    <row r="277" spans="1:2">
      <c r="A277" s="22"/>
      <c r="B277" s="97"/>
    </row>
    <row r="278" spans="1:2">
      <c r="A278" s="22"/>
      <c r="B278" s="97"/>
    </row>
    <row r="279" spans="1:2">
      <c r="A279" s="22"/>
      <c r="B279" s="97"/>
    </row>
    <row r="280" spans="1:2">
      <c r="A280" s="22"/>
      <c r="B280" s="97"/>
    </row>
    <row r="281" spans="1:2">
      <c r="A281" s="22"/>
      <c r="B281" s="97"/>
    </row>
    <row r="282" spans="1:2">
      <c r="A282" s="22"/>
      <c r="B282" s="97"/>
    </row>
    <row r="283" spans="1:2">
      <c r="A283" s="22"/>
      <c r="B283" s="97"/>
    </row>
    <row r="284" spans="1:2">
      <c r="A284" s="22"/>
      <c r="B284" s="97"/>
    </row>
    <row r="285" spans="1:2">
      <c r="A285" s="22"/>
      <c r="B285" s="97"/>
    </row>
    <row r="286" spans="1:2">
      <c r="A286" s="22"/>
      <c r="B286" s="97"/>
    </row>
    <row r="287" spans="1:2">
      <c r="A287" s="22"/>
      <c r="B287" s="97"/>
    </row>
    <row r="288" spans="1:2">
      <c r="A288" s="22"/>
      <c r="B288" s="97"/>
    </row>
    <row r="289" spans="1:2">
      <c r="A289" s="22"/>
      <c r="B289" s="97"/>
    </row>
    <row r="290" spans="1:2">
      <c r="A290" s="22"/>
      <c r="B290" s="97"/>
    </row>
    <row r="291" spans="1:2">
      <c r="A291" s="22"/>
      <c r="B291" s="97"/>
    </row>
    <row r="292" spans="1:2">
      <c r="A292" s="22"/>
      <c r="B292" s="97"/>
    </row>
    <row r="293" spans="1:2">
      <c r="A293" s="22"/>
      <c r="B293" s="97"/>
    </row>
    <row r="294" spans="1:2">
      <c r="A294" s="22"/>
      <c r="B294" s="97"/>
    </row>
    <row r="295" spans="1:2">
      <c r="A295" s="22"/>
      <c r="B295" s="97"/>
    </row>
    <row r="296" spans="1:2">
      <c r="A296" s="22"/>
      <c r="B296" s="97"/>
    </row>
    <row r="297" spans="1:2">
      <c r="A297" s="22"/>
      <c r="B297" s="97"/>
    </row>
    <row r="298" spans="1:2">
      <c r="A298" s="22"/>
      <c r="B298" s="97"/>
    </row>
    <row r="299" spans="1:2">
      <c r="A299" s="22"/>
      <c r="B299" s="97"/>
    </row>
    <row r="300" spans="1:2">
      <c r="A300" s="22"/>
      <c r="B300" s="97"/>
    </row>
    <row r="301" spans="1:2">
      <c r="A301" s="22"/>
      <c r="B301" s="97"/>
    </row>
    <row r="302" spans="1:2">
      <c r="A302" s="22"/>
      <c r="B302" s="97"/>
    </row>
    <row r="303" spans="1:2">
      <c r="A303" s="22"/>
      <c r="B303" s="97"/>
    </row>
    <row r="304" spans="1:2">
      <c r="A304" s="22"/>
      <c r="B304" s="97"/>
    </row>
    <row r="305" spans="1:2">
      <c r="A305" s="22"/>
      <c r="B305" s="97"/>
    </row>
    <row r="306" spans="1:2">
      <c r="A306" s="22"/>
      <c r="B306" s="97"/>
    </row>
    <row r="307" spans="1:2">
      <c r="A307" s="22"/>
      <c r="B307" s="97"/>
    </row>
    <row r="308" spans="1:2">
      <c r="A308" s="22"/>
      <c r="B308" s="97"/>
    </row>
    <row r="309" spans="1:2">
      <c r="A309" s="22"/>
      <c r="B309" s="97"/>
    </row>
    <row r="310" spans="1:2">
      <c r="A310" s="22"/>
      <c r="B310" s="97"/>
    </row>
    <row r="311" spans="1:2">
      <c r="A311" s="22"/>
      <c r="B311" s="97"/>
    </row>
    <row r="312" spans="1:2">
      <c r="A312" s="22"/>
      <c r="B312" s="97"/>
    </row>
    <row r="313" spans="1:2">
      <c r="A313" s="22"/>
      <c r="B313" s="97"/>
    </row>
    <row r="314" spans="1:2">
      <c r="A314" s="22"/>
      <c r="B314" s="97"/>
    </row>
    <row r="315" spans="1:2">
      <c r="A315" s="22"/>
      <c r="B315" s="97"/>
    </row>
    <row r="316" spans="1:2">
      <c r="A316" s="22"/>
      <c r="B316" s="97"/>
    </row>
    <row r="317" spans="1:2">
      <c r="A317" s="22"/>
      <c r="B317" s="97"/>
    </row>
    <row r="318" spans="1:2">
      <c r="A318" s="22"/>
      <c r="B318" s="97"/>
    </row>
    <row r="319" spans="1:2">
      <c r="A319" s="22"/>
      <c r="B319" s="97"/>
    </row>
    <row r="320" spans="1:2">
      <c r="A320" s="22"/>
      <c r="B320" s="97"/>
    </row>
    <row r="321" spans="1:2">
      <c r="A321" s="22"/>
      <c r="B321" s="97"/>
    </row>
    <row r="322" spans="1:2">
      <c r="A322" s="22"/>
      <c r="B322" s="97"/>
    </row>
    <row r="323" spans="1:2">
      <c r="A323" s="22"/>
      <c r="B323" s="97"/>
    </row>
    <row r="324" spans="1:2">
      <c r="A324" s="22"/>
      <c r="B324" s="97"/>
    </row>
    <row r="325" spans="1:2">
      <c r="A325" s="22"/>
      <c r="B325" s="97"/>
    </row>
    <row r="326" spans="1:2">
      <c r="A326" s="22"/>
      <c r="B326" s="97"/>
    </row>
    <row r="327" spans="1:2">
      <c r="A327" s="22"/>
      <c r="B327" s="97"/>
    </row>
    <row r="328" spans="1:2">
      <c r="A328" s="22"/>
      <c r="B328" s="97"/>
    </row>
    <row r="329" spans="1:2">
      <c r="A329" s="22"/>
      <c r="B329" s="97"/>
    </row>
    <row r="330" spans="1:2">
      <c r="A330" s="22"/>
      <c r="B330" s="97"/>
    </row>
    <row r="331" spans="1:2">
      <c r="A331" s="22"/>
      <c r="B331" s="97"/>
    </row>
    <row r="332" spans="1:2">
      <c r="A332" s="22"/>
      <c r="B332" s="97"/>
    </row>
    <row r="333" spans="1:2">
      <c r="A333" s="22"/>
      <c r="B333" s="97"/>
    </row>
    <row r="334" spans="1:2">
      <c r="A334" s="22"/>
      <c r="B334" s="97"/>
    </row>
    <row r="335" spans="1:2">
      <c r="A335" s="22"/>
      <c r="B335" s="97"/>
    </row>
    <row r="336" spans="1:2">
      <c r="A336" s="22"/>
      <c r="B336" s="97"/>
    </row>
    <row r="337" spans="1:2">
      <c r="A337" s="22"/>
      <c r="B337" s="97"/>
    </row>
    <row r="338" spans="1:2">
      <c r="A338" s="22"/>
      <c r="B338" s="97"/>
    </row>
    <row r="339" spans="1:2">
      <c r="A339" s="22"/>
      <c r="B339" s="97"/>
    </row>
    <row r="340" spans="1:2">
      <c r="A340" s="22"/>
      <c r="B340" s="97"/>
    </row>
    <row r="341" spans="1:2">
      <c r="A341" s="22"/>
      <c r="B341" s="97"/>
    </row>
    <row r="342" spans="1:2">
      <c r="A342" s="22"/>
      <c r="B342" s="97"/>
    </row>
    <row r="343" spans="1:2">
      <c r="A343" s="22"/>
      <c r="B343" s="97"/>
    </row>
    <row r="344" spans="1:2">
      <c r="A344" s="22"/>
      <c r="B344" s="97"/>
    </row>
    <row r="345" spans="1:2">
      <c r="A345" s="22"/>
      <c r="B345" s="97"/>
    </row>
    <row r="346" spans="1:2">
      <c r="A346" s="22"/>
      <c r="B346" s="97"/>
    </row>
    <row r="347" spans="1:2">
      <c r="A347" s="22"/>
      <c r="B347" s="97"/>
    </row>
    <row r="348" spans="1:2">
      <c r="A348" s="22"/>
      <c r="B348" s="97"/>
    </row>
    <row r="349" spans="1:2">
      <c r="A349" s="22"/>
      <c r="B349" s="97"/>
    </row>
    <row r="350" spans="1:2">
      <c r="A350" s="22"/>
      <c r="B350" s="97"/>
    </row>
    <row r="351" spans="1:2">
      <c r="A351" s="22"/>
      <c r="B351" s="97"/>
    </row>
    <row r="352" spans="1:2">
      <c r="A352" s="22"/>
      <c r="B352" s="97"/>
    </row>
    <row r="353" spans="1:2">
      <c r="A353" s="22"/>
      <c r="B353" s="97"/>
    </row>
    <row r="354" spans="1:2">
      <c r="A354" s="22"/>
      <c r="B354" s="97"/>
    </row>
    <row r="355" spans="1:2">
      <c r="A355" s="22"/>
      <c r="B355" s="97"/>
    </row>
    <row r="356" spans="1:2">
      <c r="A356" s="22"/>
      <c r="B356" s="97"/>
    </row>
    <row r="357" spans="1:2">
      <c r="A357" s="22"/>
      <c r="B357" s="97"/>
    </row>
    <row r="358" spans="1:2">
      <c r="A358" s="22"/>
      <c r="B358" s="97"/>
    </row>
    <row r="359" spans="1:2">
      <c r="A359" s="22"/>
      <c r="B359" s="97"/>
    </row>
    <row r="360" spans="1:2">
      <c r="A360" s="22"/>
      <c r="B360" s="97"/>
    </row>
    <row r="361" spans="1:2">
      <c r="A361" s="22"/>
      <c r="B361" s="97"/>
    </row>
    <row r="362" spans="1:2">
      <c r="A362" s="22"/>
      <c r="B362" s="97"/>
    </row>
    <row r="363" spans="1:2">
      <c r="A363" s="22"/>
      <c r="B363" s="97"/>
    </row>
    <row r="364" spans="1:2">
      <c r="A364" s="22"/>
      <c r="B364" s="97"/>
    </row>
    <row r="365" spans="1:2">
      <c r="A365" s="22"/>
      <c r="B365" s="97"/>
    </row>
    <row r="366" spans="1:2">
      <c r="A366" s="22"/>
      <c r="B366" s="97"/>
    </row>
    <row r="367" spans="1:2">
      <c r="A367" s="22"/>
      <c r="B367" s="97"/>
    </row>
    <row r="368" spans="1:2">
      <c r="A368" s="22"/>
      <c r="B368" s="97"/>
    </row>
    <row r="369" spans="1:2">
      <c r="A369" s="22"/>
      <c r="B369" s="97"/>
    </row>
    <row r="370" spans="1:2">
      <c r="A370" s="22"/>
      <c r="B370" s="97"/>
    </row>
    <row r="371" spans="1:2">
      <c r="A371" s="22"/>
      <c r="B371" s="97"/>
    </row>
    <row r="372" spans="1:2">
      <c r="A372" s="22"/>
      <c r="B372" s="97"/>
    </row>
    <row r="373" spans="1:2">
      <c r="A373" s="22"/>
      <c r="B373" s="97"/>
    </row>
    <row r="374" spans="1:2">
      <c r="A374" s="22"/>
      <c r="B374" s="97"/>
    </row>
    <row r="375" spans="1:2">
      <c r="A375" s="22"/>
      <c r="B375" s="97"/>
    </row>
    <row r="376" spans="1:2">
      <c r="A376" s="22"/>
      <c r="B376" s="97"/>
    </row>
    <row r="377" spans="1:2">
      <c r="A377" s="22"/>
      <c r="B377" s="97"/>
    </row>
    <row r="378" spans="1:2">
      <c r="A378" s="22"/>
      <c r="B378" s="97"/>
    </row>
    <row r="379" spans="1:2">
      <c r="A379" s="22"/>
      <c r="B379" s="97"/>
    </row>
    <row r="380" spans="1:2">
      <c r="A380" s="22"/>
      <c r="B380" s="97"/>
    </row>
    <row r="381" spans="1:2">
      <c r="A381" s="22"/>
      <c r="B381" s="97"/>
    </row>
    <row r="382" spans="1:2">
      <c r="A382" s="22"/>
      <c r="B382" s="97"/>
    </row>
    <row r="383" spans="1:2">
      <c r="A383" s="22"/>
      <c r="B383" s="97"/>
    </row>
    <row r="384" spans="1:2">
      <c r="A384" s="22"/>
      <c r="B384" s="97"/>
    </row>
    <row r="385" spans="1:2">
      <c r="A385" s="22"/>
      <c r="B385" s="97"/>
    </row>
    <row r="386" spans="1:2">
      <c r="A386" s="22"/>
      <c r="B386" s="97"/>
    </row>
    <row r="387" spans="1:2">
      <c r="A387" s="22"/>
      <c r="B387" s="97"/>
    </row>
    <row r="388" spans="1:2">
      <c r="A388" s="22"/>
      <c r="B388" s="97"/>
    </row>
    <row r="389" spans="1:2">
      <c r="A389" s="22"/>
      <c r="B389" s="97"/>
    </row>
    <row r="390" spans="1:2">
      <c r="A390" s="22"/>
      <c r="B390" s="97"/>
    </row>
    <row r="391" spans="1:2">
      <c r="A391" s="22"/>
      <c r="B391" s="97"/>
    </row>
    <row r="392" spans="1:2">
      <c r="A392" s="22"/>
      <c r="B392" s="97"/>
    </row>
    <row r="393" spans="1:2">
      <c r="A393" s="22"/>
      <c r="B393" s="97"/>
    </row>
    <row r="394" spans="1:2">
      <c r="A394" s="22"/>
      <c r="B394" s="97"/>
    </row>
    <row r="395" spans="1:2">
      <c r="A395" s="22"/>
      <c r="B395" s="97"/>
    </row>
    <row r="396" spans="1:2">
      <c r="A396" s="22"/>
      <c r="B396" s="97"/>
    </row>
    <row r="397" spans="1:2">
      <c r="A397" s="22"/>
      <c r="B397" s="97"/>
    </row>
    <row r="398" spans="1:2">
      <c r="A398" s="22"/>
      <c r="B398" s="97"/>
    </row>
    <row r="399" spans="1:2">
      <c r="A399" s="22"/>
      <c r="B399" s="97"/>
    </row>
    <row r="400" spans="1:2">
      <c r="A400" s="22"/>
      <c r="B400" s="97"/>
    </row>
    <row r="401" spans="1:2">
      <c r="A401" s="22"/>
      <c r="B401" s="97"/>
    </row>
    <row r="402" spans="1:2">
      <c r="A402" s="22"/>
      <c r="B402" s="97"/>
    </row>
    <row r="403" spans="1:2">
      <c r="A403" s="22"/>
      <c r="B403" s="97"/>
    </row>
    <row r="404" spans="1:2">
      <c r="A404" s="22"/>
      <c r="B404" s="97"/>
    </row>
    <row r="405" spans="1:2">
      <c r="A405" s="22"/>
      <c r="B405" s="97"/>
    </row>
    <row r="406" spans="1:2">
      <c r="A406" s="22"/>
      <c r="B406" s="97"/>
    </row>
    <row r="407" spans="1:2">
      <c r="A407" s="22"/>
      <c r="B407" s="97"/>
    </row>
    <row r="408" spans="1:2">
      <c r="A408" s="22"/>
      <c r="B408" s="97"/>
    </row>
    <row r="409" spans="1:2">
      <c r="A409" s="22"/>
      <c r="B409" s="97"/>
    </row>
    <row r="410" spans="1:2">
      <c r="A410" s="22"/>
      <c r="B410" s="97"/>
    </row>
    <row r="411" spans="1:2">
      <c r="A411" s="22"/>
      <c r="B411" s="97"/>
    </row>
    <row r="412" spans="1:2">
      <c r="A412" s="22"/>
      <c r="B412" s="97"/>
    </row>
    <row r="413" spans="1:2">
      <c r="A413" s="22"/>
      <c r="B413" s="97"/>
    </row>
    <row r="414" spans="1:2">
      <c r="A414" s="22"/>
      <c r="B414" s="97"/>
    </row>
    <row r="415" spans="1:2">
      <c r="A415" s="22"/>
      <c r="B415" s="97"/>
    </row>
    <row r="416" spans="1:2">
      <c r="A416" s="22"/>
      <c r="B416" s="97"/>
    </row>
    <row r="417" spans="1:2">
      <c r="A417" s="22"/>
      <c r="B417" s="97"/>
    </row>
    <row r="418" spans="1:2">
      <c r="A418" s="22"/>
      <c r="B418" s="97"/>
    </row>
    <row r="419" spans="1:2">
      <c r="A419" s="22"/>
      <c r="B419" s="97"/>
    </row>
    <row r="420" spans="1:2">
      <c r="A420" s="22"/>
      <c r="B420" s="97"/>
    </row>
    <row r="421" spans="1:2">
      <c r="A421" s="22"/>
      <c r="B421" s="97"/>
    </row>
    <row r="422" spans="1:2">
      <c r="A422" s="22"/>
      <c r="B422" s="97"/>
    </row>
    <row r="423" spans="1:2">
      <c r="A423" s="22"/>
      <c r="B423" s="97"/>
    </row>
    <row r="424" spans="1:2">
      <c r="A424" s="22"/>
      <c r="B424" s="97"/>
    </row>
    <row r="425" spans="1:2">
      <c r="A425" s="22"/>
      <c r="B425" s="97"/>
    </row>
    <row r="426" spans="1:2">
      <c r="A426" s="22"/>
      <c r="B426" s="97"/>
    </row>
    <row r="427" spans="1:2">
      <c r="A427" s="22"/>
      <c r="B427" s="97"/>
    </row>
    <row r="428" spans="1:2">
      <c r="A428" s="22"/>
      <c r="B428" s="97"/>
    </row>
    <row r="429" spans="1:2">
      <c r="A429" s="22"/>
      <c r="B429" s="97"/>
    </row>
    <row r="430" spans="1:2">
      <c r="A430" s="22"/>
      <c r="B430" s="97"/>
    </row>
    <row r="431" spans="1:2">
      <c r="A431" s="22"/>
      <c r="B431" s="97"/>
    </row>
    <row r="432" spans="1:2">
      <c r="A432" s="22"/>
      <c r="B432" s="97"/>
    </row>
    <row r="433" spans="1:2">
      <c r="A433" s="22"/>
      <c r="B433" s="97"/>
    </row>
    <row r="434" spans="1:2">
      <c r="A434" s="22"/>
      <c r="B434" s="97"/>
    </row>
    <row r="435" spans="1:2">
      <c r="A435" s="22"/>
      <c r="B435" s="97"/>
    </row>
    <row r="436" spans="1:2">
      <c r="A436" s="22"/>
      <c r="B436" s="97"/>
    </row>
    <row r="437" spans="1:2">
      <c r="A437" s="22"/>
      <c r="B437" s="97"/>
    </row>
    <row r="438" spans="1:2">
      <c r="A438" s="22"/>
      <c r="B438" s="97"/>
    </row>
    <row r="439" spans="1:2">
      <c r="A439" s="22"/>
      <c r="B439" s="97"/>
    </row>
    <row r="440" spans="1:2">
      <c r="A440" s="22"/>
      <c r="B440" s="97"/>
    </row>
    <row r="441" spans="1:2">
      <c r="A441" s="22"/>
      <c r="B441" s="97"/>
    </row>
    <row r="442" spans="1:2">
      <c r="A442" s="22"/>
      <c r="B442" s="97"/>
    </row>
    <row r="443" spans="1:2">
      <c r="A443" s="22"/>
      <c r="B443" s="97"/>
    </row>
    <row r="444" spans="1:2">
      <c r="A444" s="22"/>
      <c r="B444" s="97"/>
    </row>
    <row r="445" spans="1:2">
      <c r="A445" s="22"/>
      <c r="B445" s="97"/>
    </row>
    <row r="446" spans="1:2">
      <c r="A446" s="22"/>
      <c r="B446" s="97"/>
    </row>
    <row r="447" spans="1:2">
      <c r="A447" s="22"/>
      <c r="B447" s="97"/>
    </row>
    <row r="448" spans="1:2">
      <c r="A448" s="22"/>
      <c r="B448" s="97"/>
    </row>
    <row r="449" spans="1:2">
      <c r="A449" s="22"/>
      <c r="B449" s="97"/>
    </row>
    <row r="450" spans="1:2">
      <c r="A450" s="22"/>
      <c r="B450" s="97"/>
    </row>
    <row r="451" spans="1:2">
      <c r="A451" s="22"/>
      <c r="B451" s="97"/>
    </row>
    <row r="452" spans="1:2">
      <c r="A452" s="22"/>
      <c r="B452" s="97"/>
    </row>
    <row r="453" spans="1:2">
      <c r="A453" s="22"/>
      <c r="B453" s="97"/>
    </row>
    <row r="454" spans="1:2">
      <c r="A454" s="22"/>
      <c r="B454" s="97"/>
    </row>
    <row r="455" spans="1:2">
      <c r="A455" s="22"/>
      <c r="B455" s="97"/>
    </row>
    <row r="456" spans="1:2">
      <c r="A456" s="22"/>
      <c r="B456" s="97"/>
    </row>
    <row r="457" spans="1:2">
      <c r="A457" s="22"/>
      <c r="B457" s="97"/>
    </row>
    <row r="458" spans="1:2">
      <c r="A458" s="22"/>
      <c r="B458" s="97"/>
    </row>
    <row r="459" spans="1:2">
      <c r="A459" s="22"/>
      <c r="B459" s="97"/>
    </row>
    <row r="460" spans="1:2">
      <c r="A460" s="22"/>
      <c r="B460" s="97"/>
    </row>
    <row r="461" spans="1:2">
      <c r="A461" s="22"/>
      <c r="B461" s="97"/>
    </row>
    <row r="462" spans="1:2">
      <c r="A462" s="22"/>
      <c r="B462" s="97"/>
    </row>
    <row r="463" spans="1:2">
      <c r="A463" s="22"/>
      <c r="B463" s="97"/>
    </row>
    <row r="464" spans="1:2">
      <c r="A464" s="22"/>
      <c r="B464" s="97"/>
    </row>
    <row r="465" spans="1:2">
      <c r="A465" s="22"/>
      <c r="B465" s="97"/>
    </row>
    <row r="466" spans="1:2">
      <c r="A466" s="22"/>
      <c r="B466" s="97"/>
    </row>
    <row r="467" spans="1:2">
      <c r="A467" s="22"/>
      <c r="B467" s="97"/>
    </row>
    <row r="468" spans="1:2">
      <c r="A468" s="22"/>
      <c r="B468" s="97"/>
    </row>
    <row r="469" spans="1:2">
      <c r="A469" s="22"/>
      <c r="B469" s="97"/>
    </row>
    <row r="470" spans="1:2">
      <c r="A470" s="22"/>
      <c r="B470" s="97"/>
    </row>
    <row r="471" spans="1:2">
      <c r="B471" s="97"/>
    </row>
  </sheetData>
  <mergeCells count="33">
    <mergeCell ref="B94:D94"/>
    <mergeCell ref="E124:F124"/>
    <mergeCell ref="B25:D25"/>
    <mergeCell ref="N25:P25"/>
    <mergeCell ref="S25:T25"/>
    <mergeCell ref="Q25:R25"/>
    <mergeCell ref="B59:D59"/>
    <mergeCell ref="P94:Q94"/>
    <mergeCell ref="K94:O94"/>
    <mergeCell ref="K59:O59"/>
    <mergeCell ref="K60:L60"/>
    <mergeCell ref="E94:G94"/>
    <mergeCell ref="H94:J94"/>
    <mergeCell ref="H59:J59"/>
    <mergeCell ref="N95:O95"/>
    <mergeCell ref="N60:O60"/>
    <mergeCell ref="K95:L95"/>
    <mergeCell ref="E25:G25"/>
    <mergeCell ref="H25:J25"/>
    <mergeCell ref="K25:M25"/>
    <mergeCell ref="E59:G59"/>
    <mergeCell ref="B192:D192"/>
    <mergeCell ref="E192:G192"/>
    <mergeCell ref="H192:J192"/>
    <mergeCell ref="E123:F123"/>
    <mergeCell ref="B155:D155"/>
    <mergeCell ref="C123:D123"/>
    <mergeCell ref="C124:D124"/>
    <mergeCell ref="X13:AD13"/>
    <mergeCell ref="X14:Y14"/>
    <mergeCell ref="Z14:AA14"/>
    <mergeCell ref="AB14:AC14"/>
    <mergeCell ref="AD14:AE14"/>
  </mergeCells>
  <phoneticPr fontId="0" type="noConversion"/>
  <pageMargins left="0.74803149606299213" right="0.74803149606299213" top="0.98425196850393704" bottom="0.98425196850393704" header="0.51181102362204722" footer="0.51181102362204722"/>
  <pageSetup paperSize="9" scale="17" orientation="landscape" r:id="rId1"/>
  <headerFooter alignWithMargins="0"/>
  <colBreaks count="1" manualBreakCount="1">
    <brk id="7" max="1048575" man="1"/>
  </colBreaks>
  <ignoredErrors>
    <ignoredError sqref="C122:F122 M96:N96 AJ22 O100:O105 L107:L108 K95:K96 H93:J93 H56:J56 O107:O108 O111 L111 O95:O98 L95:L98 L100:L105 K93:L93 Y53 Z53:AD56 AF52 AF50 AG44 AG43 AG37:AG42 AG45:AG49 AG50 Z15:AE17 AF44 AF43 AF37:AF42 AF45:AF49 AF26:AF29 AF35:AF36 AF30:AF34 AF23:AF25 AF21 AF20 AF22 Z18:AF19 Z26:AE29 Z22:AE22 Z21:AE21 Z20:AE20 Z23:AE25 Z44:AE44 Z30:AE34 Z35:AE36 Z45:AE49 Z37:AE42 Z43:AE43 Y43:Y48" formula="1"/>
    <ignoredError sqref="B10:C10 C152 E152" formulaRange="1"/>
  </ignoredErrors>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29"/>
  <sheetViews>
    <sheetView workbookViewId="0">
      <selection activeCell="B32" sqref="B32"/>
    </sheetView>
  </sheetViews>
  <sheetFormatPr defaultRowHeight="12.75"/>
  <cols>
    <col min="1" max="1" width="27.7109375" customWidth="1"/>
    <col min="2" max="2" width="12.85546875" customWidth="1"/>
    <col min="3" max="3" width="34.42578125" customWidth="1"/>
  </cols>
  <sheetData>
    <row r="1" spans="1:3">
      <c r="A1" s="1" t="s">
        <v>1190</v>
      </c>
      <c r="B1" s="1"/>
      <c r="C1" s="1"/>
    </row>
    <row r="2" spans="1:3">
      <c r="A2" s="5" t="s">
        <v>1191</v>
      </c>
      <c r="B2" s="901">
        <v>2.9598740000000001</v>
      </c>
      <c r="C2" s="5" t="s">
        <v>1192</v>
      </c>
    </row>
    <row r="3" spans="1:3">
      <c r="A3" s="6" t="s">
        <v>850</v>
      </c>
      <c r="B3" s="456">
        <v>2.23</v>
      </c>
      <c r="C3" s="6" t="s">
        <v>1833</v>
      </c>
    </row>
    <row r="4" spans="1:3" ht="12.75" customHeight="1">
      <c r="A4" s="6" t="s">
        <v>1532</v>
      </c>
      <c r="B4" s="902">
        <v>7.64</v>
      </c>
      <c r="C4" s="6" t="s">
        <v>1193</v>
      </c>
    </row>
    <row r="5" spans="1:3">
      <c r="A5" s="6" t="s">
        <v>1547</v>
      </c>
      <c r="B5" s="456">
        <v>2237.98</v>
      </c>
      <c r="C5" s="6" t="s">
        <v>1192</v>
      </c>
    </row>
    <row r="6" spans="1:3">
      <c r="A6" s="6" t="s">
        <v>1194</v>
      </c>
      <c r="B6" s="456">
        <v>456.26</v>
      </c>
      <c r="C6" s="6" t="s">
        <v>1195</v>
      </c>
    </row>
    <row r="7" spans="1:3">
      <c r="A7" s="6" t="s">
        <v>1196</v>
      </c>
      <c r="B7" s="456">
        <v>0.48</v>
      </c>
      <c r="C7" s="6" t="s">
        <v>1197</v>
      </c>
    </row>
    <row r="8" spans="1:3">
      <c r="A8" s="6" t="s">
        <v>1198</v>
      </c>
      <c r="B8" s="456">
        <v>30.17</v>
      </c>
      <c r="C8" s="6" t="s">
        <v>1192</v>
      </c>
    </row>
    <row r="9" spans="1:3">
      <c r="A9" s="8" t="s">
        <v>1199</v>
      </c>
      <c r="B9" s="22">
        <v>1</v>
      </c>
      <c r="C9" s="6" t="s">
        <v>1200</v>
      </c>
    </row>
    <row r="10" spans="1:3">
      <c r="A10" s="8" t="s">
        <v>1201</v>
      </c>
      <c r="B10" s="456">
        <v>5.32</v>
      </c>
      <c r="C10" s="6" t="s">
        <v>1197</v>
      </c>
    </row>
    <row r="11" spans="1:3">
      <c r="A11" s="6" t="s">
        <v>1202</v>
      </c>
      <c r="B11" s="456">
        <v>0.84435320000000003</v>
      </c>
      <c r="C11" s="8" t="s">
        <v>1203</v>
      </c>
    </row>
    <row r="12" spans="1:3">
      <c r="A12" s="6" t="s">
        <v>1834</v>
      </c>
      <c r="B12" s="456">
        <v>7.8</v>
      </c>
      <c r="C12" s="8" t="s">
        <v>1835</v>
      </c>
    </row>
    <row r="13" spans="1:3">
      <c r="A13" s="6" t="s">
        <v>1204</v>
      </c>
      <c r="B13" s="902">
        <v>45.84</v>
      </c>
      <c r="C13" s="447" t="s">
        <v>1836</v>
      </c>
    </row>
    <row r="14" spans="1:3">
      <c r="A14" s="6" t="s">
        <v>1205</v>
      </c>
      <c r="B14" s="902">
        <v>9259.6</v>
      </c>
      <c r="C14" s="8" t="s">
        <v>1206</v>
      </c>
    </row>
    <row r="15" spans="1:3">
      <c r="A15" s="8" t="s">
        <v>1207</v>
      </c>
      <c r="B15" s="456">
        <v>4.1500000000000004</v>
      </c>
      <c r="C15" s="8" t="s">
        <v>1208</v>
      </c>
    </row>
    <row r="16" spans="1:3">
      <c r="A16" s="6" t="s">
        <v>1209</v>
      </c>
      <c r="B16" s="456">
        <v>65.59</v>
      </c>
      <c r="C16" s="8" t="s">
        <v>1210</v>
      </c>
    </row>
    <row r="17" spans="1:3">
      <c r="A17" s="8" t="s">
        <v>1327</v>
      </c>
      <c r="B17" s="456">
        <v>3.57</v>
      </c>
      <c r="C17" s="8" t="s">
        <v>1211</v>
      </c>
    </row>
    <row r="18" spans="1:3">
      <c r="A18" s="6" t="s">
        <v>1212</v>
      </c>
      <c r="B18" s="456">
        <v>11.13</v>
      </c>
      <c r="C18" s="8" t="s">
        <v>1192</v>
      </c>
    </row>
    <row r="19" spans="1:3">
      <c r="A19" s="6" t="s">
        <v>1213</v>
      </c>
      <c r="B19" s="456">
        <v>8.11</v>
      </c>
      <c r="C19" s="8" t="s">
        <v>1214</v>
      </c>
    </row>
    <row r="20" spans="1:3">
      <c r="A20" s="6" t="s">
        <v>1215</v>
      </c>
      <c r="B20" s="456">
        <v>66.97</v>
      </c>
      <c r="C20" s="8" t="s">
        <v>1216</v>
      </c>
    </row>
    <row r="21" spans="1:3">
      <c r="A21" s="6" t="s">
        <v>1217</v>
      </c>
      <c r="B21" s="456">
        <v>48.98</v>
      </c>
      <c r="C21" s="8" t="s">
        <v>1192</v>
      </c>
    </row>
    <row r="22" spans="1:3">
      <c r="A22" s="6" t="s">
        <v>1405</v>
      </c>
      <c r="B22" s="456">
        <v>7.63</v>
      </c>
      <c r="C22" s="8" t="s">
        <v>1218</v>
      </c>
    </row>
    <row r="23" spans="1:3">
      <c r="A23" s="6" t="s">
        <v>1219</v>
      </c>
      <c r="B23" s="456">
        <v>1129.28</v>
      </c>
      <c r="C23" s="8" t="s">
        <v>1220</v>
      </c>
    </row>
    <row r="24" spans="1:3">
      <c r="A24" s="8" t="s">
        <v>1221</v>
      </c>
      <c r="B24" s="456">
        <v>37.26</v>
      </c>
      <c r="C24" s="8" t="s">
        <v>1222</v>
      </c>
    </row>
    <row r="25" spans="1:3">
      <c r="A25" s="9" t="s">
        <v>1223</v>
      </c>
      <c r="B25" s="903">
        <v>16557.830000000002</v>
      </c>
      <c r="C25" s="9" t="s">
        <v>1224</v>
      </c>
    </row>
    <row r="26" spans="1:3">
      <c r="C26" s="25"/>
    </row>
    <row r="27" spans="1:3">
      <c r="C27" s="25"/>
    </row>
    <row r="28" spans="1:3">
      <c r="C28" s="25"/>
    </row>
    <row r="29" spans="1:3">
      <c r="C29" s="25"/>
    </row>
  </sheetData>
  <phoneticPr fontId="8" type="noConversion"/>
  <printOptions headings="1"/>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BA54"/>
  <sheetViews>
    <sheetView zoomScale="75" workbookViewId="0">
      <pane xSplit="1" ySplit="4" topLeftCell="B5" activePane="bottomRight" state="frozen"/>
      <selection pane="topRight" activeCell="B1" sqref="B1"/>
      <selection pane="bottomLeft" activeCell="A5" sqref="A5"/>
      <selection pane="bottomRight" activeCell="K26" sqref="K26"/>
    </sheetView>
  </sheetViews>
  <sheetFormatPr defaultRowHeight="12.75"/>
  <cols>
    <col min="1" max="1" width="29.42578125" customWidth="1"/>
    <col min="2" max="2" width="13.42578125" customWidth="1"/>
    <col min="3" max="3" width="11.7109375" customWidth="1"/>
    <col min="4" max="4" width="8.7109375" customWidth="1"/>
    <col min="5" max="5" width="8.5703125" customWidth="1"/>
    <col min="6" max="6" width="8.28515625" customWidth="1"/>
    <col min="7" max="7" width="8.7109375" customWidth="1"/>
    <col min="8" max="8" width="10" customWidth="1"/>
    <col min="9" max="9" width="11" customWidth="1"/>
    <col min="10" max="10" width="11.7109375" customWidth="1"/>
    <col min="11" max="11" width="10.140625" customWidth="1"/>
    <col min="12" max="12" width="8" customWidth="1"/>
    <col min="13" max="13" width="7.7109375" customWidth="1"/>
    <col min="14" max="14" width="8.140625" customWidth="1"/>
    <col min="15" max="15" width="8.5703125" customWidth="1"/>
    <col min="16" max="16" width="10.7109375" customWidth="1"/>
    <col min="17" max="17" width="8.5703125" customWidth="1"/>
    <col min="18" max="18" width="7.7109375" customWidth="1"/>
    <col min="19" max="19" width="8.7109375" customWidth="1"/>
    <col min="20" max="20" width="8" customWidth="1"/>
    <col min="21" max="21" width="10.42578125" customWidth="1"/>
    <col min="22" max="22" width="8" customWidth="1"/>
    <col min="23" max="23" width="9.42578125" customWidth="1"/>
    <col min="24" max="24" width="8.28515625" customWidth="1"/>
    <col min="25" max="25" width="7" customWidth="1"/>
    <col min="26" max="26" width="9" customWidth="1"/>
    <col min="27" max="27" width="5.7109375" customWidth="1"/>
    <col min="28" max="28" width="9.42578125" customWidth="1"/>
    <col min="29" max="29" width="8.42578125" customWidth="1"/>
    <col min="30" max="30" width="11.5703125" customWidth="1"/>
    <col min="32" max="32" width="9" customWidth="1"/>
    <col min="33" max="33" width="9.85546875" customWidth="1"/>
    <col min="34" max="34" width="7.85546875" customWidth="1"/>
    <col min="35" max="35" width="8" customWidth="1"/>
    <col min="36" max="36" width="7.28515625" customWidth="1"/>
    <col min="37" max="37" width="9" customWidth="1"/>
    <col min="38" max="38" width="7.7109375" customWidth="1"/>
    <col min="39" max="39" width="9" customWidth="1"/>
    <col min="40" max="40" width="7.7109375" customWidth="1"/>
    <col min="41" max="41" width="7" customWidth="1"/>
    <col min="42" max="42" width="6.85546875" customWidth="1"/>
    <col min="43" max="43" width="8" customWidth="1"/>
    <col min="45" max="45" width="19.5703125" customWidth="1"/>
    <col min="46" max="46" width="15.85546875" customWidth="1"/>
    <col min="47" max="47" width="18" customWidth="1"/>
    <col min="51" max="51" width="17.28515625" customWidth="1"/>
    <col min="53" max="53" width="10.7109375" customWidth="1"/>
    <col min="54" max="54" width="10.28515625" customWidth="1"/>
    <col min="56" max="56" width="2.28515625" customWidth="1"/>
    <col min="58" max="58" width="2.140625" customWidth="1"/>
  </cols>
  <sheetData>
    <row r="1" spans="1:53">
      <c r="A1" t="str">
        <f>+JI_Projects!A2</f>
        <v>The Pipeline was produced by Jørgen Fenhann, UNEP DTU Partnership,  1st November 2018 , jqfe@dtu.dk, Phone (+45)40202789</v>
      </c>
    </row>
    <row r="2" spans="1:53">
      <c r="AF2" t="s">
        <v>325</v>
      </c>
    </row>
    <row r="3" spans="1:53">
      <c r="A3" t="s">
        <v>323</v>
      </c>
      <c r="AF3" s="99" t="s">
        <v>320</v>
      </c>
      <c r="AG3" s="108"/>
      <c r="AH3" s="108">
        <f>+AD27</f>
        <v>761</v>
      </c>
      <c r="AI3" s="108" t="s">
        <v>397</v>
      </c>
      <c r="AJ3" s="108"/>
      <c r="AK3" s="108"/>
      <c r="AL3" s="108"/>
      <c r="AM3" s="108"/>
      <c r="AN3" s="108"/>
      <c r="AO3" s="108"/>
      <c r="AP3" s="130"/>
      <c r="AQ3" s="22"/>
    </row>
    <row r="4" spans="1:53" ht="41.25" customHeight="1">
      <c r="A4" s="301" t="s">
        <v>630</v>
      </c>
      <c r="B4" s="961" t="s">
        <v>1586</v>
      </c>
      <c r="C4" s="962" t="s">
        <v>1059</v>
      </c>
      <c r="D4" s="962" t="s">
        <v>3656</v>
      </c>
      <c r="E4" s="963" t="s">
        <v>1082</v>
      </c>
      <c r="F4" s="963" t="s">
        <v>973</v>
      </c>
      <c r="G4" s="962" t="s">
        <v>2399</v>
      </c>
      <c r="H4" s="963" t="s">
        <v>845</v>
      </c>
      <c r="I4" s="963" t="s">
        <v>1467</v>
      </c>
      <c r="J4" s="963" t="s">
        <v>910</v>
      </c>
      <c r="K4" s="963" t="s">
        <v>911</v>
      </c>
      <c r="L4" s="958" t="s">
        <v>1576</v>
      </c>
      <c r="M4" s="963" t="s">
        <v>719</v>
      </c>
      <c r="N4" s="963" t="s">
        <v>1735</v>
      </c>
      <c r="O4" s="963" t="s">
        <v>1588</v>
      </c>
      <c r="P4" s="963" t="s">
        <v>720</v>
      </c>
      <c r="Q4" s="963" t="s">
        <v>972</v>
      </c>
      <c r="R4" s="963" t="s">
        <v>640</v>
      </c>
      <c r="S4" s="963" t="s">
        <v>971</v>
      </c>
      <c r="T4" s="963" t="s">
        <v>1488</v>
      </c>
      <c r="U4" s="962" t="s">
        <v>3238</v>
      </c>
      <c r="V4" s="962" t="s">
        <v>4048</v>
      </c>
      <c r="W4" s="963" t="s">
        <v>981</v>
      </c>
      <c r="X4" s="962" t="s">
        <v>2318</v>
      </c>
      <c r="Y4" s="963" t="s">
        <v>1585</v>
      </c>
      <c r="Z4" s="963" t="s">
        <v>701</v>
      </c>
      <c r="AA4" s="963" t="s">
        <v>897</v>
      </c>
      <c r="AB4" s="963" t="s">
        <v>1483</v>
      </c>
      <c r="AC4" s="963" t="s">
        <v>970</v>
      </c>
      <c r="AD4" s="956" t="s">
        <v>974</v>
      </c>
      <c r="AF4" s="957" t="s">
        <v>909</v>
      </c>
      <c r="AG4" s="958" t="s">
        <v>845</v>
      </c>
      <c r="AH4" s="959" t="s">
        <v>4051</v>
      </c>
      <c r="AI4" s="958" t="s">
        <v>971</v>
      </c>
      <c r="AJ4" s="958" t="s">
        <v>1488</v>
      </c>
      <c r="AK4" s="959" t="s">
        <v>4050</v>
      </c>
      <c r="AL4" s="959" t="s">
        <v>4049</v>
      </c>
      <c r="AM4" s="958" t="s">
        <v>701</v>
      </c>
      <c r="AN4" s="958" t="s">
        <v>897</v>
      </c>
      <c r="AO4" s="960" t="s">
        <v>970</v>
      </c>
      <c r="AP4" s="154" t="s">
        <v>974</v>
      </c>
      <c r="AS4" s="116" t="s">
        <v>326</v>
      </c>
      <c r="AY4" t="s">
        <v>328</v>
      </c>
    </row>
    <row r="5" spans="1:53">
      <c r="A5" s="120" t="s">
        <v>625</v>
      </c>
      <c r="B5" s="120">
        <f>+B6+B7</f>
        <v>1</v>
      </c>
      <c r="C5" s="155">
        <f t="shared" ref="C5:AC5" si="0">+C6+C7</f>
        <v>12</v>
      </c>
      <c r="D5" s="155">
        <f t="shared" ref="D5" si="1">+D6+D7</f>
        <v>1</v>
      </c>
      <c r="E5" s="155">
        <f t="shared" si="0"/>
        <v>23</v>
      </c>
      <c r="F5" s="155">
        <f t="shared" si="0"/>
        <v>4</v>
      </c>
      <c r="G5" s="155">
        <f t="shared" si="0"/>
        <v>1</v>
      </c>
      <c r="H5" s="155">
        <f t="shared" si="0"/>
        <v>17</v>
      </c>
      <c r="I5" s="155">
        <f t="shared" si="0"/>
        <v>50</v>
      </c>
      <c r="J5" s="155">
        <f t="shared" si="0"/>
        <v>1</v>
      </c>
      <c r="K5" s="155">
        <f t="shared" si="0"/>
        <v>94</v>
      </c>
      <c r="L5" s="155">
        <f t="shared" si="0"/>
        <v>7</v>
      </c>
      <c r="M5" s="155">
        <f t="shared" si="0"/>
        <v>14</v>
      </c>
      <c r="N5" s="155">
        <f t="shared" si="0"/>
        <v>33</v>
      </c>
      <c r="O5" s="155">
        <f t="shared" si="0"/>
        <v>19</v>
      </c>
      <c r="P5" s="155">
        <f t="shared" si="0"/>
        <v>169</v>
      </c>
      <c r="Q5" s="155">
        <f t="shared" si="0"/>
        <v>0</v>
      </c>
      <c r="R5" s="155">
        <f t="shared" si="0"/>
        <v>3</v>
      </c>
      <c r="S5" s="155">
        <f t="shared" si="0"/>
        <v>8</v>
      </c>
      <c r="T5" s="155">
        <f t="shared" si="0"/>
        <v>16</v>
      </c>
      <c r="U5" s="155">
        <f>+U6+U7</f>
        <v>4</v>
      </c>
      <c r="V5" s="155">
        <f t="shared" ref="V5" si="2">+V6+V7</f>
        <v>0</v>
      </c>
      <c r="W5" s="155">
        <f t="shared" si="0"/>
        <v>10</v>
      </c>
      <c r="X5" s="155">
        <f t="shared" si="0"/>
        <v>7</v>
      </c>
      <c r="Y5" s="155">
        <f t="shared" si="0"/>
        <v>0</v>
      </c>
      <c r="Z5" s="155">
        <f t="shared" si="0"/>
        <v>1</v>
      </c>
      <c r="AA5" s="155">
        <f t="shared" si="0"/>
        <v>0</v>
      </c>
      <c r="AB5" s="155">
        <f t="shared" si="0"/>
        <v>4</v>
      </c>
      <c r="AC5" s="155">
        <f t="shared" si="0"/>
        <v>4</v>
      </c>
      <c r="AD5" s="36">
        <f>+AD6+AD7</f>
        <v>503</v>
      </c>
      <c r="AF5" s="134">
        <f t="shared" ref="AF5:AK5" si="3">+AF6+AF7</f>
        <v>147.9</v>
      </c>
      <c r="AG5" s="133">
        <f t="shared" si="3"/>
        <v>290.19</v>
      </c>
      <c r="AH5" s="133">
        <f t="shared" si="3"/>
        <v>0</v>
      </c>
      <c r="AI5" s="133">
        <f t="shared" si="3"/>
        <v>544.84799999999996</v>
      </c>
      <c r="AJ5" s="133">
        <f t="shared" si="3"/>
        <v>5.46</v>
      </c>
      <c r="AK5" s="133">
        <f t="shared" si="3"/>
        <v>25.3</v>
      </c>
      <c r="AL5" s="133">
        <f t="shared" ref="AL5" si="4">+AL6+AL7</f>
        <v>0</v>
      </c>
      <c r="AM5" s="133">
        <f>+AM6+AM7</f>
        <v>20</v>
      </c>
      <c r="AN5" s="133">
        <f>+AN6+AN7</f>
        <v>0</v>
      </c>
      <c r="AO5" s="133">
        <f>+AO6+AO7</f>
        <v>907.375</v>
      </c>
      <c r="AP5" s="151">
        <f>+AP6+AP7</f>
        <v>1941.0730000000001</v>
      </c>
      <c r="AS5" s="1123" t="s">
        <v>632</v>
      </c>
      <c r="AT5" s="1124"/>
      <c r="AU5" s="1125"/>
      <c r="AY5" s="1112" t="s">
        <v>635</v>
      </c>
      <c r="AZ5" s="1113"/>
      <c r="BA5" s="1114"/>
    </row>
    <row r="6" spans="1:53">
      <c r="A6" s="125" t="s">
        <v>1176</v>
      </c>
      <c r="B6" s="19">
        <v>1</v>
      </c>
      <c r="C6" s="22">
        <v>0</v>
      </c>
      <c r="D6" s="22">
        <v>1</v>
      </c>
      <c r="E6" s="22">
        <v>15</v>
      </c>
      <c r="F6" s="22">
        <v>1</v>
      </c>
      <c r="G6" s="22">
        <v>1</v>
      </c>
      <c r="H6" s="22">
        <v>1</v>
      </c>
      <c r="I6" s="22">
        <v>5</v>
      </c>
      <c r="J6" s="22">
        <v>0</v>
      </c>
      <c r="K6" s="22">
        <v>37</v>
      </c>
      <c r="L6" s="22">
        <v>0</v>
      </c>
      <c r="M6" s="22">
        <v>0</v>
      </c>
      <c r="N6" s="22">
        <v>21</v>
      </c>
      <c r="O6" s="22">
        <v>16</v>
      </c>
      <c r="P6" s="22">
        <v>53</v>
      </c>
      <c r="Q6" s="22">
        <v>0</v>
      </c>
      <c r="R6" s="22">
        <v>3</v>
      </c>
      <c r="S6" s="22">
        <v>5</v>
      </c>
      <c r="T6" s="22">
        <v>7</v>
      </c>
      <c r="U6" s="22">
        <v>1</v>
      </c>
      <c r="V6" s="22">
        <v>0</v>
      </c>
      <c r="W6" s="22">
        <v>7</v>
      </c>
      <c r="X6" s="22">
        <v>7</v>
      </c>
      <c r="Y6" s="22">
        <v>0</v>
      </c>
      <c r="Z6" s="22">
        <v>0</v>
      </c>
      <c r="AA6" s="22">
        <v>0</v>
      </c>
      <c r="AB6" s="22">
        <v>0</v>
      </c>
      <c r="AC6" s="22">
        <v>0</v>
      </c>
      <c r="AD6" s="6">
        <f>SUM(B6:AC6)</f>
        <v>182</v>
      </c>
      <c r="AF6" s="90">
        <v>144</v>
      </c>
      <c r="AG6" s="94"/>
      <c r="AH6" s="94"/>
      <c r="AI6" s="118">
        <v>507.97800000000001</v>
      </c>
      <c r="AJ6" s="94"/>
      <c r="AK6" s="94">
        <v>20</v>
      </c>
      <c r="AL6" s="94"/>
      <c r="AM6" s="94"/>
      <c r="AN6" s="94"/>
      <c r="AO6" s="94"/>
      <c r="AP6" s="33">
        <f>SUM(AF6:AO6)</f>
        <v>671.97800000000007</v>
      </c>
      <c r="AS6" s="74" t="s">
        <v>849</v>
      </c>
      <c r="AT6" s="387" t="s">
        <v>1402</v>
      </c>
      <c r="AU6" s="541" t="s">
        <v>841</v>
      </c>
      <c r="AY6" s="5" t="s">
        <v>849</v>
      </c>
      <c r="AZ6" s="4" t="s">
        <v>1402</v>
      </c>
      <c r="BA6" s="4" t="s">
        <v>841</v>
      </c>
    </row>
    <row r="7" spans="1:53">
      <c r="A7" s="128" t="s">
        <v>707</v>
      </c>
      <c r="B7" s="19">
        <v>0</v>
      </c>
      <c r="C7" s="22">
        <v>12</v>
      </c>
      <c r="D7" s="22">
        <v>0</v>
      </c>
      <c r="E7" s="22">
        <v>8</v>
      </c>
      <c r="F7" s="22">
        <v>3</v>
      </c>
      <c r="G7" s="22">
        <v>0</v>
      </c>
      <c r="H7" s="22">
        <v>16</v>
      </c>
      <c r="I7" s="22">
        <v>45</v>
      </c>
      <c r="J7" s="22">
        <v>1</v>
      </c>
      <c r="K7" s="22">
        <v>57</v>
      </c>
      <c r="L7" s="22">
        <v>7</v>
      </c>
      <c r="M7" s="22">
        <v>14</v>
      </c>
      <c r="N7" s="22">
        <v>12</v>
      </c>
      <c r="O7" s="22">
        <v>3</v>
      </c>
      <c r="P7" s="22">
        <v>116</v>
      </c>
      <c r="Q7" s="22">
        <v>0</v>
      </c>
      <c r="R7" s="22">
        <v>0</v>
      </c>
      <c r="S7" s="22">
        <v>3</v>
      </c>
      <c r="T7" s="22">
        <v>9</v>
      </c>
      <c r="U7" s="22">
        <v>3</v>
      </c>
      <c r="V7" s="22">
        <v>0</v>
      </c>
      <c r="W7" s="22">
        <v>3</v>
      </c>
      <c r="X7" s="22">
        <v>0</v>
      </c>
      <c r="Y7" s="22">
        <v>0</v>
      </c>
      <c r="Z7" s="22">
        <v>1</v>
      </c>
      <c r="AA7" s="22">
        <v>0</v>
      </c>
      <c r="AB7" s="22">
        <v>4</v>
      </c>
      <c r="AC7" s="22">
        <v>4</v>
      </c>
      <c r="AD7" s="7">
        <f>SUM(B7:AC7)</f>
        <v>321</v>
      </c>
      <c r="AF7" s="47">
        <v>3.9</v>
      </c>
      <c r="AG7" s="95">
        <v>290.19</v>
      </c>
      <c r="AH7" s="95"/>
      <c r="AI7" s="170">
        <v>36.869999999999997</v>
      </c>
      <c r="AJ7" s="95">
        <v>5.46</v>
      </c>
      <c r="AK7" s="95">
        <v>5.3</v>
      </c>
      <c r="AL7" s="95"/>
      <c r="AM7" s="95">
        <v>20</v>
      </c>
      <c r="AN7" s="95"/>
      <c r="AO7" s="95">
        <v>907.375</v>
      </c>
      <c r="AP7" s="34">
        <f>SUM(AF7:AO7)</f>
        <v>1269.095</v>
      </c>
      <c r="AS7" s="74" t="str">
        <f>+A16</f>
        <v>Lithuania</v>
      </c>
      <c r="AT7" s="151">
        <f>+AC16</f>
        <v>15</v>
      </c>
      <c r="AU7" s="31">
        <f>+AO16</f>
        <v>255.63</v>
      </c>
      <c r="AY7" s="74" t="str">
        <f>+A9</f>
        <v>Bulgaria</v>
      </c>
      <c r="AZ7" s="151">
        <f>+S9</f>
        <v>10</v>
      </c>
      <c r="BA7" s="31">
        <f>+AI9</f>
        <v>153.09</v>
      </c>
    </row>
    <row r="8" spans="1:53">
      <c r="A8" s="39" t="s">
        <v>396</v>
      </c>
      <c r="B8" s="120">
        <f>SUM(B9:B17)</f>
        <v>1</v>
      </c>
      <c r="C8" s="155">
        <f t="shared" ref="C8:AC8" si="5">SUM(C9:C17)</f>
        <v>0</v>
      </c>
      <c r="D8" s="155">
        <f t="shared" ref="D8" si="6">SUM(D9:D17)</f>
        <v>0</v>
      </c>
      <c r="E8" s="155">
        <f t="shared" si="5"/>
        <v>22</v>
      </c>
      <c r="F8" s="155">
        <f t="shared" si="5"/>
        <v>1</v>
      </c>
      <c r="G8" s="155">
        <f t="shared" si="5"/>
        <v>0</v>
      </c>
      <c r="H8" s="155">
        <f t="shared" si="5"/>
        <v>12</v>
      </c>
      <c r="I8" s="155">
        <f t="shared" si="5"/>
        <v>6</v>
      </c>
      <c r="J8" s="155">
        <f t="shared" si="5"/>
        <v>0</v>
      </c>
      <c r="K8" s="155">
        <f t="shared" si="5"/>
        <v>8</v>
      </c>
      <c r="L8" s="155">
        <f t="shared" si="5"/>
        <v>0</v>
      </c>
      <c r="M8" s="155">
        <f t="shared" si="5"/>
        <v>0</v>
      </c>
      <c r="N8" s="155">
        <f t="shared" si="5"/>
        <v>4</v>
      </c>
      <c r="O8" s="155">
        <f t="shared" si="5"/>
        <v>5</v>
      </c>
      <c r="P8" s="155">
        <f t="shared" si="5"/>
        <v>3</v>
      </c>
      <c r="Q8" s="155">
        <f t="shared" si="5"/>
        <v>4</v>
      </c>
      <c r="R8" s="155">
        <f t="shared" si="5"/>
        <v>0</v>
      </c>
      <c r="S8" s="155">
        <f t="shared" si="5"/>
        <v>19</v>
      </c>
      <c r="T8" s="155">
        <f t="shared" si="5"/>
        <v>62</v>
      </c>
      <c r="U8" s="155">
        <f>SUM(U9:U17)</f>
        <v>4</v>
      </c>
      <c r="V8" s="155">
        <f t="shared" ref="V8" si="7">SUM(V9:V17)</f>
        <v>0</v>
      </c>
      <c r="W8" s="155">
        <f t="shared" si="5"/>
        <v>15</v>
      </c>
      <c r="X8" s="155">
        <f t="shared" si="5"/>
        <v>0</v>
      </c>
      <c r="Y8" s="155">
        <f t="shared" si="5"/>
        <v>0</v>
      </c>
      <c r="Z8" s="155">
        <f t="shared" si="5"/>
        <v>0</v>
      </c>
      <c r="AA8" s="155">
        <f t="shared" si="5"/>
        <v>0</v>
      </c>
      <c r="AB8" s="155">
        <f t="shared" si="5"/>
        <v>0</v>
      </c>
      <c r="AC8" s="155">
        <f t="shared" si="5"/>
        <v>42</v>
      </c>
      <c r="AD8" s="37">
        <f>SUM(AD9:AD17)</f>
        <v>208</v>
      </c>
      <c r="AF8" s="157">
        <f t="shared" ref="AF8:AP8" si="8">SUM(AF9:AF17)</f>
        <v>145.142</v>
      </c>
      <c r="AG8" s="139">
        <f t="shared" si="8"/>
        <v>28.162000000000003</v>
      </c>
      <c r="AH8" s="139">
        <f t="shared" si="8"/>
        <v>0</v>
      </c>
      <c r="AI8" s="147">
        <f t="shared" si="8"/>
        <v>594.88020999999992</v>
      </c>
      <c r="AJ8" s="139">
        <f t="shared" si="8"/>
        <v>24.403000000000006</v>
      </c>
      <c r="AK8" s="139">
        <f t="shared" si="8"/>
        <v>1.6719999999999999</v>
      </c>
      <c r="AL8" s="139">
        <f t="shared" si="8"/>
        <v>0</v>
      </c>
      <c r="AM8" s="139">
        <f t="shared" si="8"/>
        <v>0</v>
      </c>
      <c r="AN8" s="139">
        <f t="shared" si="8"/>
        <v>0</v>
      </c>
      <c r="AO8" s="139">
        <f t="shared" si="8"/>
        <v>1551.73</v>
      </c>
      <c r="AP8" s="234">
        <f t="shared" si="8"/>
        <v>2345.9892100000002</v>
      </c>
      <c r="AS8" s="19" t="str">
        <f>+A14</f>
        <v xml:space="preserve">Estonia </v>
      </c>
      <c r="AT8" s="33">
        <f>+AC14</f>
        <v>8</v>
      </c>
      <c r="AU8" s="28">
        <f>+AO14</f>
        <v>145.5</v>
      </c>
      <c r="AY8" s="19" t="str">
        <f>+A6</f>
        <v>Russia</v>
      </c>
      <c r="AZ8" s="33">
        <f>+S6</f>
        <v>5</v>
      </c>
      <c r="BA8" s="28">
        <f>+AI6</f>
        <v>507.97800000000001</v>
      </c>
    </row>
    <row r="9" spans="1:53">
      <c r="A9" s="125" t="s">
        <v>573</v>
      </c>
      <c r="B9" s="19">
        <v>0</v>
      </c>
      <c r="C9" s="22">
        <v>0</v>
      </c>
      <c r="D9" s="22">
        <v>0</v>
      </c>
      <c r="E9" s="22">
        <v>5</v>
      </c>
      <c r="F9" s="22">
        <v>0</v>
      </c>
      <c r="G9" s="22">
        <v>0</v>
      </c>
      <c r="H9" s="22">
        <v>0</v>
      </c>
      <c r="I9" s="22">
        <v>3</v>
      </c>
      <c r="J9" s="22">
        <v>0</v>
      </c>
      <c r="K9" s="22">
        <v>6</v>
      </c>
      <c r="L9" s="22">
        <v>0</v>
      </c>
      <c r="M9" s="22">
        <v>0</v>
      </c>
      <c r="N9" s="22">
        <v>1</v>
      </c>
      <c r="O9" s="22">
        <v>4</v>
      </c>
      <c r="P9" s="22">
        <v>2</v>
      </c>
      <c r="Q9" s="22">
        <v>0</v>
      </c>
      <c r="R9" s="22">
        <v>0</v>
      </c>
      <c r="S9" s="22">
        <v>10</v>
      </c>
      <c r="T9" s="22">
        <v>1</v>
      </c>
      <c r="U9" s="22">
        <v>1</v>
      </c>
      <c r="V9" s="22">
        <v>0</v>
      </c>
      <c r="W9" s="22">
        <v>2</v>
      </c>
      <c r="X9" s="22">
        <v>0</v>
      </c>
      <c r="Y9" s="22">
        <v>0</v>
      </c>
      <c r="Z9" s="22">
        <v>0</v>
      </c>
      <c r="AA9" s="22">
        <v>0</v>
      </c>
      <c r="AB9" s="22">
        <v>0</v>
      </c>
      <c r="AC9" s="22">
        <v>3</v>
      </c>
      <c r="AD9" s="6">
        <f t="shared" ref="AD9:AD17" si="9">SUM(B9:AC9)</f>
        <v>38</v>
      </c>
      <c r="AF9" s="90"/>
      <c r="AG9" s="94"/>
      <c r="AH9" s="94"/>
      <c r="AI9" s="118">
        <v>153.09</v>
      </c>
      <c r="AJ9" s="94"/>
      <c r="AK9" s="94"/>
      <c r="AL9" s="94"/>
      <c r="AM9" s="94"/>
      <c r="AN9" s="94"/>
      <c r="AO9" s="94">
        <v>271</v>
      </c>
      <c r="AP9" s="33">
        <f t="shared" ref="AP9:AP17" si="10">SUM(AF9:AO9)</f>
        <v>424.09000000000003</v>
      </c>
      <c r="AS9" s="19" t="str">
        <f>+A12</f>
        <v>Poland</v>
      </c>
      <c r="AT9" s="33">
        <f>+AC12</f>
        <v>13</v>
      </c>
      <c r="AU9" s="28">
        <f>+AO12</f>
        <v>591.70000000000005</v>
      </c>
      <c r="AY9" s="19" t="str">
        <f>+A10</f>
        <v xml:space="preserve">Czech Republic </v>
      </c>
      <c r="AZ9" s="33">
        <f>+S10</f>
        <v>4</v>
      </c>
      <c r="BA9" s="28">
        <f>+AI10</f>
        <v>14.01221</v>
      </c>
    </row>
    <row r="10" spans="1:53">
      <c r="A10" s="125" t="s">
        <v>265</v>
      </c>
      <c r="B10" s="19">
        <v>0</v>
      </c>
      <c r="C10" s="22">
        <v>0</v>
      </c>
      <c r="D10" s="22">
        <v>0</v>
      </c>
      <c r="E10" s="22">
        <v>5</v>
      </c>
      <c r="F10" s="22">
        <v>0</v>
      </c>
      <c r="G10" s="22">
        <v>0</v>
      </c>
      <c r="H10" s="22">
        <v>0</v>
      </c>
      <c r="I10" s="22">
        <v>1</v>
      </c>
      <c r="J10" s="22">
        <v>0</v>
      </c>
      <c r="K10" s="22">
        <v>0</v>
      </c>
      <c r="L10" s="22">
        <v>0</v>
      </c>
      <c r="M10" s="22">
        <v>0</v>
      </c>
      <c r="N10" s="22">
        <v>0</v>
      </c>
      <c r="O10" s="22">
        <v>0</v>
      </c>
      <c r="P10" s="22">
        <v>0</v>
      </c>
      <c r="Q10" s="22">
        <v>0</v>
      </c>
      <c r="R10" s="22">
        <v>0</v>
      </c>
      <c r="S10" s="22">
        <v>4</v>
      </c>
      <c r="T10" s="22">
        <v>48</v>
      </c>
      <c r="U10" s="22">
        <v>0</v>
      </c>
      <c r="V10" s="22">
        <v>0</v>
      </c>
      <c r="W10" s="22">
        <v>1</v>
      </c>
      <c r="X10" s="22">
        <v>0</v>
      </c>
      <c r="Y10" s="22">
        <v>0</v>
      </c>
      <c r="Z10" s="22">
        <v>0</v>
      </c>
      <c r="AA10" s="22">
        <v>0</v>
      </c>
      <c r="AB10" s="22">
        <v>0</v>
      </c>
      <c r="AC10" s="22">
        <v>0</v>
      </c>
      <c r="AD10" s="6">
        <f t="shared" si="9"/>
        <v>59</v>
      </c>
      <c r="AF10" s="90"/>
      <c r="AG10" s="94"/>
      <c r="AH10" s="94"/>
      <c r="AI10" s="118">
        <v>14.01221</v>
      </c>
      <c r="AJ10" s="94">
        <v>18.612000000000002</v>
      </c>
      <c r="AK10" s="94"/>
      <c r="AL10" s="94"/>
      <c r="AM10" s="94"/>
      <c r="AN10" s="94"/>
      <c r="AO10" s="94"/>
      <c r="AP10" s="33">
        <f t="shared" si="10"/>
        <v>32.624210000000005</v>
      </c>
      <c r="AS10" s="21" t="str">
        <f>+A9</f>
        <v>Bulgaria</v>
      </c>
      <c r="AT10" s="33">
        <f>+AC9</f>
        <v>3</v>
      </c>
      <c r="AU10" s="28">
        <f>+AO9</f>
        <v>271</v>
      </c>
      <c r="AY10" s="19" t="str">
        <f>+A11</f>
        <v>Romania</v>
      </c>
      <c r="AZ10" s="33">
        <f>+S11</f>
        <v>3</v>
      </c>
      <c r="BA10" s="28">
        <f>+AI11</f>
        <v>424.9</v>
      </c>
    </row>
    <row r="11" spans="1:53">
      <c r="A11" s="125" t="s">
        <v>1587</v>
      </c>
      <c r="B11" s="19">
        <v>1</v>
      </c>
      <c r="C11" s="22">
        <v>0</v>
      </c>
      <c r="D11" s="22">
        <v>0</v>
      </c>
      <c r="E11" s="22">
        <v>2</v>
      </c>
      <c r="F11" s="22">
        <v>0</v>
      </c>
      <c r="G11" s="22">
        <v>0</v>
      </c>
      <c r="H11" s="22">
        <v>0</v>
      </c>
      <c r="I11" s="22">
        <v>2</v>
      </c>
      <c r="J11" s="22">
        <v>0</v>
      </c>
      <c r="K11" s="22">
        <v>1</v>
      </c>
      <c r="L11" s="22">
        <v>0</v>
      </c>
      <c r="M11" s="22">
        <v>0</v>
      </c>
      <c r="N11" s="22">
        <v>3</v>
      </c>
      <c r="O11" s="22">
        <v>1</v>
      </c>
      <c r="P11" s="22">
        <v>0</v>
      </c>
      <c r="Q11" s="22">
        <v>1</v>
      </c>
      <c r="R11" s="22">
        <v>0</v>
      </c>
      <c r="S11" s="22">
        <v>3</v>
      </c>
      <c r="T11" s="22">
        <v>0</v>
      </c>
      <c r="U11" s="22">
        <v>0</v>
      </c>
      <c r="V11" s="22">
        <v>0</v>
      </c>
      <c r="W11" s="22">
        <v>4</v>
      </c>
      <c r="X11" s="22">
        <v>0</v>
      </c>
      <c r="Y11" s="22">
        <v>0</v>
      </c>
      <c r="Z11" s="22">
        <v>0</v>
      </c>
      <c r="AA11" s="22">
        <v>0</v>
      </c>
      <c r="AB11" s="22">
        <v>0</v>
      </c>
      <c r="AC11" s="22">
        <v>3</v>
      </c>
      <c r="AD11" s="6">
        <f t="shared" si="9"/>
        <v>21</v>
      </c>
      <c r="AF11" s="90"/>
      <c r="AG11" s="94"/>
      <c r="AH11" s="94"/>
      <c r="AI11" s="118">
        <v>424.9</v>
      </c>
      <c r="AJ11" s="94"/>
      <c r="AK11" s="94"/>
      <c r="AL11" s="94"/>
      <c r="AM11" s="94"/>
      <c r="AN11" s="94"/>
      <c r="AO11" s="94">
        <v>287.89999999999998</v>
      </c>
      <c r="AP11" s="33">
        <f t="shared" si="10"/>
        <v>712.8</v>
      </c>
      <c r="AS11" s="19" t="str">
        <f>+A26</f>
        <v>New Zealand</v>
      </c>
      <c r="AT11" s="6">
        <f>+AC26</f>
        <v>4</v>
      </c>
      <c r="AU11" s="28">
        <f>+AO26</f>
        <v>305.05</v>
      </c>
      <c r="AY11" s="19" t="str">
        <f>+A7</f>
        <v>Ukraine</v>
      </c>
      <c r="AZ11" s="33">
        <f>+S7</f>
        <v>3</v>
      </c>
      <c r="BA11" s="28">
        <f>+AI7</f>
        <v>36.869999999999997</v>
      </c>
    </row>
    <row r="12" spans="1:53">
      <c r="A12" s="125" t="s">
        <v>847</v>
      </c>
      <c r="B12" s="19">
        <v>0</v>
      </c>
      <c r="C12" s="22">
        <v>0</v>
      </c>
      <c r="D12" s="22">
        <v>0</v>
      </c>
      <c r="E12" s="22">
        <v>1</v>
      </c>
      <c r="F12" s="22">
        <v>1</v>
      </c>
      <c r="G12" s="22">
        <v>0</v>
      </c>
      <c r="H12" s="22">
        <v>11</v>
      </c>
      <c r="I12" s="22">
        <v>0</v>
      </c>
      <c r="J12" s="22">
        <v>0</v>
      </c>
      <c r="K12" s="22">
        <v>0</v>
      </c>
      <c r="L12" s="22">
        <v>0</v>
      </c>
      <c r="M12" s="22">
        <v>0</v>
      </c>
      <c r="N12" s="22">
        <v>0</v>
      </c>
      <c r="O12" s="22">
        <v>0</v>
      </c>
      <c r="P12" s="22">
        <v>0</v>
      </c>
      <c r="Q12" s="22">
        <v>2</v>
      </c>
      <c r="R12" s="22">
        <v>0</v>
      </c>
      <c r="S12" s="22">
        <v>1</v>
      </c>
      <c r="T12" s="22">
        <v>6</v>
      </c>
      <c r="U12" s="22">
        <v>1</v>
      </c>
      <c r="V12" s="22">
        <v>0</v>
      </c>
      <c r="W12" s="22">
        <v>4</v>
      </c>
      <c r="X12" s="22">
        <v>0</v>
      </c>
      <c r="Y12" s="22">
        <v>0</v>
      </c>
      <c r="Z12" s="22">
        <v>0</v>
      </c>
      <c r="AA12" s="22">
        <v>0</v>
      </c>
      <c r="AB12" s="22">
        <v>0</v>
      </c>
      <c r="AC12" s="22">
        <v>13</v>
      </c>
      <c r="AD12" s="6">
        <f t="shared" si="9"/>
        <v>40</v>
      </c>
      <c r="AF12" s="90"/>
      <c r="AG12" s="94">
        <v>27.987000000000002</v>
      </c>
      <c r="AH12" s="94"/>
      <c r="AI12" s="118">
        <v>0.9</v>
      </c>
      <c r="AJ12" s="94">
        <v>2.1</v>
      </c>
      <c r="AK12" s="94"/>
      <c r="AL12" s="94"/>
      <c r="AM12" s="94"/>
      <c r="AN12" s="94"/>
      <c r="AO12" s="94">
        <v>591.70000000000005</v>
      </c>
      <c r="AP12" s="33">
        <f t="shared" si="10"/>
        <v>622.68700000000001</v>
      </c>
      <c r="AS12" s="19" t="str">
        <f>+A11</f>
        <v>Romania</v>
      </c>
      <c r="AT12" s="33">
        <f>+AC11</f>
        <v>3</v>
      </c>
      <c r="AU12" s="28">
        <f>+AO11</f>
        <v>287.89999999999998</v>
      </c>
      <c r="AY12" s="19" t="str">
        <f>+A14</f>
        <v xml:space="preserve">Estonia </v>
      </c>
      <c r="AZ12" s="33">
        <f>+S14</f>
        <v>1</v>
      </c>
      <c r="BA12" s="28">
        <f>+AI14</f>
        <v>1.978</v>
      </c>
    </row>
    <row r="13" spans="1:53">
      <c r="A13" s="125" t="s">
        <v>833</v>
      </c>
      <c r="B13" s="19">
        <v>0</v>
      </c>
      <c r="C13" s="22">
        <v>0</v>
      </c>
      <c r="D13" s="22">
        <v>0</v>
      </c>
      <c r="E13" s="22">
        <v>5</v>
      </c>
      <c r="F13" s="22">
        <v>0</v>
      </c>
      <c r="G13" s="22">
        <v>0</v>
      </c>
      <c r="H13" s="22">
        <v>0</v>
      </c>
      <c r="I13" s="22">
        <v>0</v>
      </c>
      <c r="J13" s="22">
        <v>0</v>
      </c>
      <c r="K13" s="22">
        <v>1</v>
      </c>
      <c r="L13" s="22">
        <v>0</v>
      </c>
      <c r="M13" s="22">
        <v>0</v>
      </c>
      <c r="N13" s="22">
        <v>0</v>
      </c>
      <c r="O13" s="22">
        <v>0</v>
      </c>
      <c r="P13" s="22">
        <v>0</v>
      </c>
      <c r="Q13" s="22">
        <v>1</v>
      </c>
      <c r="R13" s="22">
        <v>0</v>
      </c>
      <c r="S13" s="22">
        <v>0</v>
      </c>
      <c r="T13" s="22">
        <v>3</v>
      </c>
      <c r="U13" s="22">
        <v>2</v>
      </c>
      <c r="V13" s="22">
        <v>0</v>
      </c>
      <c r="W13" s="22">
        <v>1</v>
      </c>
      <c r="X13" s="22">
        <v>0</v>
      </c>
      <c r="Y13" s="22">
        <v>0</v>
      </c>
      <c r="Z13" s="22">
        <v>0</v>
      </c>
      <c r="AA13" s="22">
        <v>0</v>
      </c>
      <c r="AB13" s="22">
        <v>0</v>
      </c>
      <c r="AC13" s="22">
        <v>0</v>
      </c>
      <c r="AD13" s="6">
        <f t="shared" si="9"/>
        <v>13</v>
      </c>
      <c r="AF13" s="90">
        <v>145.142</v>
      </c>
      <c r="AG13" s="94"/>
      <c r="AH13" s="94"/>
      <c r="AI13" s="118"/>
      <c r="AJ13" s="94">
        <v>0.51100000000000001</v>
      </c>
      <c r="AK13" s="94">
        <v>1.6719999999999999</v>
      </c>
      <c r="AL13" s="94"/>
      <c r="AM13" s="94"/>
      <c r="AN13" s="94"/>
      <c r="AO13" s="94"/>
      <c r="AP13" s="33">
        <f t="shared" si="10"/>
        <v>147.32499999999999</v>
      </c>
      <c r="AS13" s="19" t="str">
        <f>+A8</f>
        <v>Eastern Europe</v>
      </c>
      <c r="AT13" s="33">
        <f>+AC7</f>
        <v>4</v>
      </c>
      <c r="AU13" s="28">
        <f>+AO7</f>
        <v>907.375</v>
      </c>
      <c r="AY13" s="20" t="str">
        <f>+A12</f>
        <v>Poland</v>
      </c>
      <c r="AZ13" s="34">
        <f>+S12</f>
        <v>1</v>
      </c>
      <c r="BA13" s="29">
        <f>+AI12</f>
        <v>0.9</v>
      </c>
    </row>
    <row r="14" spans="1:53">
      <c r="A14" s="125" t="s">
        <v>975</v>
      </c>
      <c r="B14" s="19">
        <v>0</v>
      </c>
      <c r="C14" s="22">
        <v>0</v>
      </c>
      <c r="D14" s="22">
        <v>0</v>
      </c>
      <c r="E14" s="22">
        <v>4</v>
      </c>
      <c r="F14" s="22">
        <v>0</v>
      </c>
      <c r="G14" s="22">
        <v>0</v>
      </c>
      <c r="H14" s="22">
        <v>0</v>
      </c>
      <c r="I14" s="22">
        <v>0</v>
      </c>
      <c r="J14" s="22">
        <v>0</v>
      </c>
      <c r="K14" s="22">
        <v>0</v>
      </c>
      <c r="L14" s="22">
        <v>0</v>
      </c>
      <c r="M14" s="22">
        <v>0</v>
      </c>
      <c r="N14" s="22">
        <v>0</v>
      </c>
      <c r="O14" s="22">
        <v>0</v>
      </c>
      <c r="P14" s="22">
        <v>0</v>
      </c>
      <c r="Q14" s="22">
        <v>0</v>
      </c>
      <c r="R14" s="22">
        <v>0</v>
      </c>
      <c r="S14" s="22">
        <v>1</v>
      </c>
      <c r="T14" s="22">
        <v>1</v>
      </c>
      <c r="U14" s="22">
        <v>0</v>
      </c>
      <c r="V14" s="22">
        <v>0</v>
      </c>
      <c r="W14" s="22">
        <v>0</v>
      </c>
      <c r="X14" s="22">
        <v>0</v>
      </c>
      <c r="Y14" s="22">
        <v>0</v>
      </c>
      <c r="Z14" s="22">
        <v>0</v>
      </c>
      <c r="AA14" s="22">
        <v>0</v>
      </c>
      <c r="AB14" s="22">
        <v>0</v>
      </c>
      <c r="AC14" s="22">
        <v>8</v>
      </c>
      <c r="AD14" s="6">
        <f t="shared" si="9"/>
        <v>14</v>
      </c>
      <c r="AF14" s="90"/>
      <c r="AG14" s="94"/>
      <c r="AH14" s="94"/>
      <c r="AI14" s="118">
        <v>1.978</v>
      </c>
      <c r="AJ14" s="94"/>
      <c r="AK14" s="94"/>
      <c r="AL14" s="94"/>
      <c r="AM14" s="94"/>
      <c r="AN14" s="94"/>
      <c r="AO14" s="94">
        <v>145.5</v>
      </c>
      <c r="AP14" s="33">
        <f t="shared" si="10"/>
        <v>147.47800000000001</v>
      </c>
      <c r="AS14" s="99" t="s">
        <v>974</v>
      </c>
      <c r="AT14" s="96">
        <f>SUM(AT7:AT13)</f>
        <v>50</v>
      </c>
      <c r="AU14" s="111">
        <f>SUM(AU7:AU13)</f>
        <v>2764.1549999999997</v>
      </c>
      <c r="AY14" s="7" t="s">
        <v>974</v>
      </c>
      <c r="AZ14" s="34">
        <f>SUM(AZ7:AZ13)</f>
        <v>27</v>
      </c>
      <c r="BA14" s="34">
        <f>SUM(BA7:BA13)</f>
        <v>1139.72821</v>
      </c>
    </row>
    <row r="15" spans="1:53">
      <c r="A15" s="249" t="s">
        <v>976</v>
      </c>
      <c r="B15" s="19">
        <v>0</v>
      </c>
      <c r="C15" s="22">
        <v>0</v>
      </c>
      <c r="D15" s="22">
        <v>0</v>
      </c>
      <c r="E15" s="22">
        <v>0</v>
      </c>
      <c r="F15" s="22">
        <v>0</v>
      </c>
      <c r="G15" s="22">
        <v>0</v>
      </c>
      <c r="H15" s="22">
        <v>0</v>
      </c>
      <c r="I15" s="22">
        <v>0</v>
      </c>
      <c r="J15" s="22">
        <v>0</v>
      </c>
      <c r="K15" s="22">
        <v>0</v>
      </c>
      <c r="L15" s="22">
        <v>0</v>
      </c>
      <c r="M15" s="22">
        <v>0</v>
      </c>
      <c r="N15" s="22">
        <v>0</v>
      </c>
      <c r="O15" s="22">
        <v>0</v>
      </c>
      <c r="P15" s="22">
        <v>0</v>
      </c>
      <c r="Q15" s="22">
        <v>0</v>
      </c>
      <c r="R15" s="22">
        <v>0</v>
      </c>
      <c r="S15" s="22">
        <v>0</v>
      </c>
      <c r="T15" s="22">
        <v>1</v>
      </c>
      <c r="U15" s="22">
        <v>0</v>
      </c>
      <c r="V15" s="22">
        <v>0</v>
      </c>
      <c r="W15" s="22">
        <v>0</v>
      </c>
      <c r="X15" s="22">
        <v>0</v>
      </c>
      <c r="Y15" s="22">
        <v>0</v>
      </c>
      <c r="Z15" s="22">
        <v>0</v>
      </c>
      <c r="AA15" s="22">
        <v>0</v>
      </c>
      <c r="AB15" s="22">
        <v>0</v>
      </c>
      <c r="AC15" s="22">
        <v>0</v>
      </c>
      <c r="AD15" s="6">
        <f t="shared" si="9"/>
        <v>1</v>
      </c>
      <c r="AF15" s="90"/>
      <c r="AG15" s="94"/>
      <c r="AH15" s="94"/>
      <c r="AI15" s="118"/>
      <c r="AJ15" s="94">
        <v>1.6199999999999999</v>
      </c>
      <c r="AK15" s="94"/>
      <c r="AL15" s="94"/>
      <c r="AM15" s="94"/>
      <c r="AN15" s="94"/>
      <c r="AO15" s="94"/>
      <c r="AP15" s="33">
        <f t="shared" si="10"/>
        <v>1.6199999999999999</v>
      </c>
    </row>
    <row r="16" spans="1:53">
      <c r="A16" s="125" t="s">
        <v>879</v>
      </c>
      <c r="B16" s="19">
        <v>0</v>
      </c>
      <c r="C16" s="22">
        <v>0</v>
      </c>
      <c r="D16" s="22">
        <v>0</v>
      </c>
      <c r="E16" s="22">
        <v>0</v>
      </c>
      <c r="F16" s="22">
        <v>0</v>
      </c>
      <c r="G16" s="22">
        <v>0</v>
      </c>
      <c r="H16" s="22">
        <v>0</v>
      </c>
      <c r="I16" s="22">
        <v>0</v>
      </c>
      <c r="J16" s="22">
        <v>0</v>
      </c>
      <c r="K16" s="22">
        <v>0</v>
      </c>
      <c r="L16" s="22">
        <v>0</v>
      </c>
      <c r="M16" s="22">
        <v>0</v>
      </c>
      <c r="N16" s="22">
        <v>0</v>
      </c>
      <c r="O16" s="22">
        <v>0</v>
      </c>
      <c r="P16" s="22">
        <v>1</v>
      </c>
      <c r="Q16" s="22">
        <v>0</v>
      </c>
      <c r="R16" s="22">
        <v>0</v>
      </c>
      <c r="S16" s="22">
        <v>0</v>
      </c>
      <c r="T16" s="22">
        <v>1</v>
      </c>
      <c r="U16" s="22">
        <v>0</v>
      </c>
      <c r="V16" s="22">
        <v>0</v>
      </c>
      <c r="W16" s="22">
        <v>3</v>
      </c>
      <c r="X16" s="22">
        <v>0</v>
      </c>
      <c r="Y16" s="22">
        <v>0</v>
      </c>
      <c r="Z16" s="22">
        <v>0</v>
      </c>
      <c r="AA16" s="22">
        <v>0</v>
      </c>
      <c r="AB16" s="22">
        <v>0</v>
      </c>
      <c r="AC16" s="22">
        <v>15</v>
      </c>
      <c r="AD16" s="6">
        <f t="shared" si="9"/>
        <v>20</v>
      </c>
      <c r="AF16" s="90"/>
      <c r="AG16" s="94"/>
      <c r="AH16" s="94"/>
      <c r="AI16" s="118"/>
      <c r="AJ16" s="94">
        <v>1.1000000000000001</v>
      </c>
      <c r="AK16" s="94"/>
      <c r="AL16" s="94"/>
      <c r="AM16" s="94"/>
      <c r="AN16" s="94"/>
      <c r="AO16" s="94">
        <v>255.63</v>
      </c>
      <c r="AP16" s="33">
        <f t="shared" si="10"/>
        <v>256.73</v>
      </c>
    </row>
    <row r="17" spans="1:48">
      <c r="A17" s="125" t="s">
        <v>834</v>
      </c>
      <c r="B17" s="20">
        <v>0</v>
      </c>
      <c r="C17" s="24">
        <v>0</v>
      </c>
      <c r="D17" s="24">
        <v>0</v>
      </c>
      <c r="E17" s="24">
        <v>0</v>
      </c>
      <c r="F17" s="24">
        <v>0</v>
      </c>
      <c r="G17" s="24">
        <v>0</v>
      </c>
      <c r="H17" s="24">
        <v>1</v>
      </c>
      <c r="I17" s="24">
        <v>0</v>
      </c>
      <c r="J17" s="24">
        <v>0</v>
      </c>
      <c r="K17" s="24">
        <v>0</v>
      </c>
      <c r="L17" s="24">
        <v>0</v>
      </c>
      <c r="M17" s="24">
        <v>0</v>
      </c>
      <c r="N17" s="24">
        <v>0</v>
      </c>
      <c r="O17" s="24">
        <v>0</v>
      </c>
      <c r="P17" s="24">
        <v>0</v>
      </c>
      <c r="Q17" s="24">
        <v>0</v>
      </c>
      <c r="R17" s="24">
        <v>0</v>
      </c>
      <c r="S17" s="24">
        <v>0</v>
      </c>
      <c r="T17" s="24">
        <v>1</v>
      </c>
      <c r="U17" s="24">
        <v>0</v>
      </c>
      <c r="V17" s="24">
        <v>0</v>
      </c>
      <c r="W17" s="24">
        <v>0</v>
      </c>
      <c r="X17" s="24">
        <v>0</v>
      </c>
      <c r="Y17" s="24">
        <v>0</v>
      </c>
      <c r="Z17" s="24">
        <v>0</v>
      </c>
      <c r="AA17" s="24">
        <v>0</v>
      </c>
      <c r="AB17" s="24">
        <v>0</v>
      </c>
      <c r="AC17" s="24">
        <v>0</v>
      </c>
      <c r="AD17" s="6">
        <f t="shared" si="9"/>
        <v>2</v>
      </c>
      <c r="AF17" s="90"/>
      <c r="AG17" s="94">
        <v>0.17499999999999999</v>
      </c>
      <c r="AH17" s="94"/>
      <c r="AI17" s="118"/>
      <c r="AJ17" s="94">
        <v>0.46</v>
      </c>
      <c r="AK17" s="94"/>
      <c r="AL17" s="94"/>
      <c r="AM17" s="94"/>
      <c r="AN17" s="94"/>
      <c r="AO17" s="94"/>
      <c r="AP17" s="33">
        <f t="shared" si="10"/>
        <v>0.63500000000000001</v>
      </c>
    </row>
    <row r="18" spans="1:48">
      <c r="A18" s="120" t="s">
        <v>1549</v>
      </c>
      <c r="B18" s="39">
        <f>SUM(B19:B26)</f>
        <v>0</v>
      </c>
      <c r="C18" s="141">
        <f t="shared" ref="C18:AC18" si="11">SUM(C19:C26)</f>
        <v>0</v>
      </c>
      <c r="D18" s="141">
        <f t="shared" ref="D18" si="12">SUM(D19:D26)</f>
        <v>0</v>
      </c>
      <c r="E18" s="141">
        <f t="shared" si="11"/>
        <v>3</v>
      </c>
      <c r="F18" s="141">
        <f t="shared" si="11"/>
        <v>0</v>
      </c>
      <c r="G18" s="141">
        <f t="shared" si="11"/>
        <v>0</v>
      </c>
      <c r="H18" s="141">
        <f t="shared" si="11"/>
        <v>4</v>
      </c>
      <c r="I18" s="141">
        <f t="shared" si="11"/>
        <v>0</v>
      </c>
      <c r="J18" s="141">
        <f t="shared" si="11"/>
        <v>0</v>
      </c>
      <c r="K18" s="141">
        <f t="shared" si="11"/>
        <v>1</v>
      </c>
      <c r="L18" s="141">
        <f t="shared" si="11"/>
        <v>0</v>
      </c>
      <c r="M18" s="141">
        <f t="shared" si="11"/>
        <v>0</v>
      </c>
      <c r="N18" s="141">
        <f t="shared" si="11"/>
        <v>0</v>
      </c>
      <c r="O18" s="141">
        <f t="shared" si="11"/>
        <v>0</v>
      </c>
      <c r="P18" s="141">
        <f t="shared" si="11"/>
        <v>0</v>
      </c>
      <c r="Q18" s="141">
        <f t="shared" si="11"/>
        <v>1</v>
      </c>
      <c r="R18" s="141">
        <f t="shared" si="11"/>
        <v>1</v>
      </c>
      <c r="S18" s="141">
        <f t="shared" si="11"/>
        <v>0</v>
      </c>
      <c r="T18" s="141">
        <f t="shared" si="11"/>
        <v>5</v>
      </c>
      <c r="U18" s="141">
        <f>SUM(U19:U26)</f>
        <v>0</v>
      </c>
      <c r="V18" s="141">
        <f t="shared" ref="V18" si="13">SUM(V19:V26)</f>
        <v>0</v>
      </c>
      <c r="W18" s="141">
        <f t="shared" si="11"/>
        <v>30</v>
      </c>
      <c r="X18" s="141">
        <f t="shared" si="11"/>
        <v>1</v>
      </c>
      <c r="Y18" s="141">
        <f t="shared" si="11"/>
        <v>0</v>
      </c>
      <c r="Z18" s="141">
        <f t="shared" si="11"/>
        <v>0</v>
      </c>
      <c r="AA18" s="141">
        <f t="shared" si="11"/>
        <v>0</v>
      </c>
      <c r="AB18" s="141">
        <f t="shared" si="11"/>
        <v>0</v>
      </c>
      <c r="AC18" s="141">
        <f t="shared" si="11"/>
        <v>4</v>
      </c>
      <c r="AD18" s="36">
        <f>SUM(AD19:AD26)</f>
        <v>50</v>
      </c>
      <c r="AE18" s="1"/>
      <c r="AF18" s="134">
        <f t="shared" ref="AF18:AP18" si="14">SUM(AF19:AF26)</f>
        <v>48</v>
      </c>
      <c r="AG18" s="133">
        <f t="shared" si="14"/>
        <v>10.84</v>
      </c>
      <c r="AH18" s="133">
        <f t="shared" si="14"/>
        <v>0</v>
      </c>
      <c r="AI18" s="252">
        <f t="shared" si="14"/>
        <v>0</v>
      </c>
      <c r="AJ18" s="133">
        <f t="shared" si="14"/>
        <v>29.676000000000002</v>
      </c>
      <c r="AK18" s="133">
        <f t="shared" si="14"/>
        <v>0</v>
      </c>
      <c r="AL18" s="133">
        <f t="shared" si="14"/>
        <v>0</v>
      </c>
      <c r="AM18" s="133">
        <f t="shared" si="14"/>
        <v>0</v>
      </c>
      <c r="AN18" s="133">
        <f t="shared" si="14"/>
        <v>0</v>
      </c>
      <c r="AO18" s="133">
        <f t="shared" si="14"/>
        <v>305.05</v>
      </c>
      <c r="AP18" s="158">
        <f t="shared" si="14"/>
        <v>393.56600000000003</v>
      </c>
    </row>
    <row r="19" spans="1:48">
      <c r="A19" s="219" t="s">
        <v>1396</v>
      </c>
      <c r="B19" s="219">
        <v>0</v>
      </c>
      <c r="C19" s="458">
        <v>0</v>
      </c>
      <c r="D19" s="458">
        <v>0</v>
      </c>
      <c r="E19" s="458">
        <v>0</v>
      </c>
      <c r="F19" s="458">
        <v>0</v>
      </c>
      <c r="G19" s="458">
        <v>0</v>
      </c>
      <c r="H19" s="458">
        <v>0</v>
      </c>
      <c r="I19" s="458">
        <v>0</v>
      </c>
      <c r="J19" s="458">
        <v>0</v>
      </c>
      <c r="K19" s="458">
        <v>0</v>
      </c>
      <c r="L19" s="458">
        <v>0</v>
      </c>
      <c r="M19" s="458">
        <v>0</v>
      </c>
      <c r="N19" s="458">
        <v>0</v>
      </c>
      <c r="O19" s="458">
        <v>0</v>
      </c>
      <c r="P19" s="458">
        <v>0</v>
      </c>
      <c r="Q19" s="458">
        <v>0</v>
      </c>
      <c r="R19" s="458">
        <v>0</v>
      </c>
      <c r="S19" s="458">
        <v>0</v>
      </c>
      <c r="T19" s="458">
        <v>0</v>
      </c>
      <c r="U19" s="458">
        <v>0</v>
      </c>
      <c r="V19" s="458">
        <v>0</v>
      </c>
      <c r="W19" s="458">
        <v>2</v>
      </c>
      <c r="X19" s="458">
        <v>0</v>
      </c>
      <c r="Y19" s="458">
        <v>0</v>
      </c>
      <c r="Z19" s="458">
        <v>0</v>
      </c>
      <c r="AA19" s="458">
        <v>0</v>
      </c>
      <c r="AB19" s="458">
        <v>0</v>
      </c>
      <c r="AC19" s="458">
        <v>0</v>
      </c>
      <c r="AD19" s="6">
        <f t="shared" ref="AD19:AD26" si="15">SUM(B19:AC19)</f>
        <v>2</v>
      </c>
      <c r="AE19" s="1"/>
      <c r="AF19" s="157"/>
      <c r="AG19" s="139"/>
      <c r="AH19" s="139"/>
      <c r="AI19" s="147"/>
      <c r="AJ19" s="139"/>
      <c r="AK19" s="139"/>
      <c r="AL19" s="139"/>
      <c r="AM19" s="139"/>
      <c r="AN19" s="139"/>
      <c r="AO19" s="139"/>
      <c r="AP19" s="33">
        <f t="shared" ref="AP19:AP26" si="16">SUM(AF19:AO19)</f>
        <v>0</v>
      </c>
      <c r="AS19" t="s">
        <v>329</v>
      </c>
    </row>
    <row r="20" spans="1:48">
      <c r="A20" s="125" t="s">
        <v>558</v>
      </c>
      <c r="B20" s="19">
        <v>0</v>
      </c>
      <c r="C20" s="22">
        <v>0</v>
      </c>
      <c r="D20" s="22">
        <v>0</v>
      </c>
      <c r="E20" s="22">
        <v>0</v>
      </c>
      <c r="F20" s="22">
        <v>0</v>
      </c>
      <c r="G20" s="22">
        <v>0</v>
      </c>
      <c r="H20" s="22">
        <v>4</v>
      </c>
      <c r="I20" s="22">
        <v>0</v>
      </c>
      <c r="J20" s="22">
        <v>0</v>
      </c>
      <c r="K20" s="22">
        <v>0</v>
      </c>
      <c r="L20" s="22">
        <v>0</v>
      </c>
      <c r="M20" s="22">
        <v>0</v>
      </c>
      <c r="N20" s="22">
        <v>0</v>
      </c>
      <c r="O20" s="22">
        <v>0</v>
      </c>
      <c r="P20" s="22">
        <v>0</v>
      </c>
      <c r="Q20" s="22">
        <v>0</v>
      </c>
      <c r="R20" s="22">
        <v>0</v>
      </c>
      <c r="S20" s="22">
        <v>0</v>
      </c>
      <c r="T20" s="22">
        <v>0</v>
      </c>
      <c r="U20" s="22">
        <v>0</v>
      </c>
      <c r="V20" s="22">
        <v>0</v>
      </c>
      <c r="W20" s="22">
        <v>8</v>
      </c>
      <c r="X20" s="22">
        <v>1</v>
      </c>
      <c r="Y20" s="22">
        <v>0</v>
      </c>
      <c r="Z20" s="22">
        <v>0</v>
      </c>
      <c r="AA20" s="22">
        <v>0</v>
      </c>
      <c r="AB20" s="22">
        <v>0</v>
      </c>
      <c r="AC20" s="22">
        <v>0</v>
      </c>
      <c r="AD20" s="6">
        <f t="shared" si="15"/>
        <v>13</v>
      </c>
      <c r="AF20" s="90"/>
      <c r="AG20" s="94">
        <v>10.84</v>
      </c>
      <c r="AH20" s="94"/>
      <c r="AI20" s="118"/>
      <c r="AJ20" s="94"/>
      <c r="AK20" s="94"/>
      <c r="AL20" s="94"/>
      <c r="AM20" s="94"/>
      <c r="AN20" s="94"/>
      <c r="AO20" s="94"/>
      <c r="AP20" s="33">
        <f t="shared" si="16"/>
        <v>10.84</v>
      </c>
      <c r="AS20" s="10" t="s">
        <v>634</v>
      </c>
      <c r="AT20" s="1112" t="s">
        <v>321</v>
      </c>
      <c r="AU20" s="1114"/>
      <c r="AV20" s="35" t="s">
        <v>841</v>
      </c>
    </row>
    <row r="21" spans="1:48">
      <c r="A21" s="219" t="s">
        <v>1598</v>
      </c>
      <c r="B21" s="19">
        <v>0</v>
      </c>
      <c r="C21" s="22">
        <v>0</v>
      </c>
      <c r="D21" s="22">
        <v>0</v>
      </c>
      <c r="E21" s="22">
        <v>0</v>
      </c>
      <c r="F21" s="22">
        <v>0</v>
      </c>
      <c r="G21" s="22">
        <v>0</v>
      </c>
      <c r="H21" s="22">
        <v>0</v>
      </c>
      <c r="I21" s="22">
        <v>0</v>
      </c>
      <c r="J21" s="22">
        <v>0</v>
      </c>
      <c r="K21" s="22">
        <v>0</v>
      </c>
      <c r="L21" s="22">
        <v>0</v>
      </c>
      <c r="M21" s="22">
        <v>0</v>
      </c>
      <c r="N21" s="22">
        <v>0</v>
      </c>
      <c r="O21" s="22">
        <v>0</v>
      </c>
      <c r="P21" s="22">
        <v>0</v>
      </c>
      <c r="Q21" s="22">
        <v>0</v>
      </c>
      <c r="R21" s="22">
        <v>0</v>
      </c>
      <c r="S21" s="22">
        <v>0</v>
      </c>
      <c r="T21" s="22">
        <v>0</v>
      </c>
      <c r="U21" s="22">
        <v>0</v>
      </c>
      <c r="V21" s="22">
        <v>0</v>
      </c>
      <c r="W21" s="22">
        <v>3</v>
      </c>
      <c r="X21" s="22">
        <v>0</v>
      </c>
      <c r="Y21" s="22">
        <v>0</v>
      </c>
      <c r="Z21" s="22">
        <v>0</v>
      </c>
      <c r="AA21" s="22">
        <v>0</v>
      </c>
      <c r="AB21" s="22">
        <v>0</v>
      </c>
      <c r="AC21" s="22">
        <v>0</v>
      </c>
      <c r="AD21" s="6">
        <f t="shared" si="15"/>
        <v>3</v>
      </c>
      <c r="AF21" s="90"/>
      <c r="AG21" s="94"/>
      <c r="AH21" s="94"/>
      <c r="AI21" s="118"/>
      <c r="AJ21" s="94"/>
      <c r="AK21" s="94"/>
      <c r="AL21" s="94"/>
      <c r="AM21" s="94"/>
      <c r="AN21" s="94"/>
      <c r="AO21" s="94"/>
      <c r="AP21" s="33">
        <f t="shared" si="16"/>
        <v>0</v>
      </c>
      <c r="AS21" s="10" t="s">
        <v>849</v>
      </c>
      <c r="AT21" s="969" t="s">
        <v>1082</v>
      </c>
      <c r="AU21" s="969" t="s">
        <v>4078</v>
      </c>
      <c r="AV21" s="35" t="s">
        <v>1531</v>
      </c>
    </row>
    <row r="22" spans="1:48">
      <c r="A22" s="125" t="s">
        <v>1397</v>
      </c>
      <c r="B22" s="19">
        <v>0</v>
      </c>
      <c r="C22" s="22">
        <v>0</v>
      </c>
      <c r="D22" s="22">
        <v>0</v>
      </c>
      <c r="E22" s="22">
        <v>3</v>
      </c>
      <c r="F22" s="22">
        <v>0</v>
      </c>
      <c r="G22" s="22">
        <v>0</v>
      </c>
      <c r="H22" s="22">
        <v>0</v>
      </c>
      <c r="I22" s="22">
        <v>0</v>
      </c>
      <c r="J22" s="22">
        <v>0</v>
      </c>
      <c r="K22" s="22">
        <v>1</v>
      </c>
      <c r="L22" s="22">
        <v>0</v>
      </c>
      <c r="M22" s="22">
        <v>0</v>
      </c>
      <c r="N22" s="22">
        <v>0</v>
      </c>
      <c r="O22" s="22">
        <v>0</v>
      </c>
      <c r="P22" s="22">
        <v>0</v>
      </c>
      <c r="Q22" s="22">
        <v>0</v>
      </c>
      <c r="R22" s="22">
        <v>1</v>
      </c>
      <c r="S22" s="22">
        <v>0</v>
      </c>
      <c r="T22" s="22">
        <v>0</v>
      </c>
      <c r="U22" s="22">
        <v>0</v>
      </c>
      <c r="V22" s="22">
        <v>0</v>
      </c>
      <c r="W22" s="22">
        <v>12</v>
      </c>
      <c r="X22" s="22">
        <v>0</v>
      </c>
      <c r="Y22" s="22">
        <v>0</v>
      </c>
      <c r="Z22" s="22">
        <v>0</v>
      </c>
      <c r="AA22" s="22">
        <v>0</v>
      </c>
      <c r="AB22" s="22">
        <v>0</v>
      </c>
      <c r="AC22" s="22">
        <v>0</v>
      </c>
      <c r="AD22" s="6">
        <f t="shared" si="15"/>
        <v>17</v>
      </c>
      <c r="AF22" s="90">
        <v>48</v>
      </c>
      <c r="AG22" s="94"/>
      <c r="AH22" s="94"/>
      <c r="AI22" s="118"/>
      <c r="AJ22" s="94"/>
      <c r="AK22" s="94"/>
      <c r="AL22" s="94"/>
      <c r="AM22" s="94"/>
      <c r="AN22" s="94"/>
      <c r="AO22" s="94"/>
      <c r="AP22" s="33">
        <f t="shared" si="16"/>
        <v>48</v>
      </c>
      <c r="AS22" s="5" t="str">
        <f>+A6</f>
        <v>Russia</v>
      </c>
      <c r="AT22" s="67">
        <f>+E6</f>
        <v>15</v>
      </c>
      <c r="AU22" s="5">
        <f>+U6</f>
        <v>1</v>
      </c>
      <c r="AV22" s="151">
        <f>+AF6+AK6</f>
        <v>164</v>
      </c>
    </row>
    <row r="23" spans="1:48">
      <c r="A23" s="219" t="s">
        <v>1398</v>
      </c>
      <c r="B23" s="19">
        <v>0</v>
      </c>
      <c r="C23" s="22">
        <v>0</v>
      </c>
      <c r="D23" s="22">
        <v>0</v>
      </c>
      <c r="E23" s="22">
        <v>0</v>
      </c>
      <c r="F23" s="22">
        <v>0</v>
      </c>
      <c r="G23" s="22">
        <v>0</v>
      </c>
      <c r="H23" s="22">
        <v>0</v>
      </c>
      <c r="I23" s="22">
        <v>0</v>
      </c>
      <c r="J23" s="22">
        <v>0</v>
      </c>
      <c r="K23" s="22">
        <v>0</v>
      </c>
      <c r="L23" s="22">
        <v>0</v>
      </c>
      <c r="M23" s="22">
        <v>0</v>
      </c>
      <c r="N23" s="22">
        <v>0</v>
      </c>
      <c r="O23" s="22">
        <v>0</v>
      </c>
      <c r="P23" s="22">
        <v>0</v>
      </c>
      <c r="Q23" s="22">
        <v>0</v>
      </c>
      <c r="R23" s="22">
        <v>0</v>
      </c>
      <c r="S23" s="22">
        <v>0</v>
      </c>
      <c r="T23" s="22">
        <v>2</v>
      </c>
      <c r="U23" s="22">
        <v>0</v>
      </c>
      <c r="V23" s="22">
        <v>0</v>
      </c>
      <c r="W23" s="22">
        <v>0</v>
      </c>
      <c r="X23" s="22">
        <v>0</v>
      </c>
      <c r="Y23" s="22">
        <v>0</v>
      </c>
      <c r="Z23" s="22">
        <v>0</v>
      </c>
      <c r="AA23" s="22">
        <v>0</v>
      </c>
      <c r="AB23" s="22">
        <v>0</v>
      </c>
      <c r="AC23" s="22">
        <v>0</v>
      </c>
      <c r="AD23" s="6">
        <f t="shared" si="15"/>
        <v>2</v>
      </c>
      <c r="AF23" s="90"/>
      <c r="AG23" s="94"/>
      <c r="AH23" s="94"/>
      <c r="AI23" s="118"/>
      <c r="AJ23" s="94">
        <v>28.676000000000002</v>
      </c>
      <c r="AK23" s="94"/>
      <c r="AL23" s="94"/>
      <c r="AM23" s="94"/>
      <c r="AN23" s="94"/>
      <c r="AO23" s="94"/>
      <c r="AP23" s="33">
        <f t="shared" si="16"/>
        <v>28.676000000000002</v>
      </c>
      <c r="AS23" s="6" t="str">
        <f>+A9</f>
        <v>Bulgaria</v>
      </c>
      <c r="AT23" s="22">
        <f>+E9</f>
        <v>5</v>
      </c>
      <c r="AU23" s="6">
        <f>+U9</f>
        <v>1</v>
      </c>
      <c r="AV23" s="33">
        <f>+AF9+AK9</f>
        <v>0</v>
      </c>
    </row>
    <row r="24" spans="1:48">
      <c r="A24" s="219" t="s">
        <v>749</v>
      </c>
      <c r="B24" s="19">
        <v>0</v>
      </c>
      <c r="C24" s="22">
        <v>0</v>
      </c>
      <c r="D24" s="22">
        <v>0</v>
      </c>
      <c r="E24" s="22">
        <v>0</v>
      </c>
      <c r="F24" s="22">
        <v>0</v>
      </c>
      <c r="G24" s="22">
        <v>0</v>
      </c>
      <c r="H24" s="22">
        <v>0</v>
      </c>
      <c r="I24" s="22">
        <v>0</v>
      </c>
      <c r="J24" s="22">
        <v>0</v>
      </c>
      <c r="K24" s="22">
        <v>0</v>
      </c>
      <c r="L24" s="22">
        <v>0</v>
      </c>
      <c r="M24" s="22">
        <v>0</v>
      </c>
      <c r="N24" s="22">
        <v>0</v>
      </c>
      <c r="O24" s="22">
        <v>0</v>
      </c>
      <c r="P24" s="22">
        <v>0</v>
      </c>
      <c r="Q24" s="22">
        <v>0</v>
      </c>
      <c r="R24" s="22">
        <v>0</v>
      </c>
      <c r="S24" s="22">
        <v>0</v>
      </c>
      <c r="T24" s="22">
        <v>0</v>
      </c>
      <c r="U24" s="22">
        <v>0</v>
      </c>
      <c r="V24" s="22">
        <v>0</v>
      </c>
      <c r="W24" s="22">
        <v>3</v>
      </c>
      <c r="X24" s="22">
        <v>0</v>
      </c>
      <c r="Y24" s="22">
        <v>0</v>
      </c>
      <c r="Z24" s="22">
        <v>0</v>
      </c>
      <c r="AA24" s="22">
        <v>0</v>
      </c>
      <c r="AB24" s="22">
        <v>0</v>
      </c>
      <c r="AC24" s="22">
        <v>0</v>
      </c>
      <c r="AD24" s="6">
        <f t="shared" si="15"/>
        <v>3</v>
      </c>
      <c r="AF24" s="90"/>
      <c r="AG24" s="94"/>
      <c r="AH24" s="94"/>
      <c r="AI24" s="118"/>
      <c r="AJ24" s="94"/>
      <c r="AK24" s="94"/>
      <c r="AL24" s="94"/>
      <c r="AM24" s="94"/>
      <c r="AN24" s="94"/>
      <c r="AO24" s="94"/>
      <c r="AP24" s="33">
        <f t="shared" si="16"/>
        <v>0</v>
      </c>
      <c r="AS24" s="6" t="str">
        <f>+A7</f>
        <v>Ukraine</v>
      </c>
      <c r="AT24">
        <f>+E7</f>
        <v>8</v>
      </c>
      <c r="AU24" s="6">
        <f>+U7</f>
        <v>3</v>
      </c>
      <c r="AV24" s="33">
        <f>+AF7+AK7</f>
        <v>9.1999999999999993</v>
      </c>
    </row>
    <row r="25" spans="1:48">
      <c r="A25" s="125" t="s">
        <v>978</v>
      </c>
      <c r="B25" s="19">
        <v>0</v>
      </c>
      <c r="C25" s="22">
        <v>0</v>
      </c>
      <c r="D25" s="22">
        <v>0</v>
      </c>
      <c r="E25" s="22">
        <v>0</v>
      </c>
      <c r="F25" s="22">
        <v>0</v>
      </c>
      <c r="G25" s="22">
        <v>0</v>
      </c>
      <c r="H25" s="22">
        <v>0</v>
      </c>
      <c r="I25" s="22">
        <v>0</v>
      </c>
      <c r="J25" s="22">
        <v>0</v>
      </c>
      <c r="K25" s="22">
        <v>0</v>
      </c>
      <c r="L25" s="22">
        <v>0</v>
      </c>
      <c r="M25" s="22">
        <v>0</v>
      </c>
      <c r="N25" s="22">
        <v>0</v>
      </c>
      <c r="O25" s="22">
        <v>0</v>
      </c>
      <c r="P25" s="22">
        <v>0</v>
      </c>
      <c r="Q25" s="22">
        <v>0</v>
      </c>
      <c r="R25" s="22">
        <v>0</v>
      </c>
      <c r="S25" s="22">
        <v>0</v>
      </c>
      <c r="T25" s="22">
        <v>0</v>
      </c>
      <c r="U25" s="22">
        <v>0</v>
      </c>
      <c r="V25" s="22">
        <v>0</v>
      </c>
      <c r="W25" s="22">
        <v>2</v>
      </c>
      <c r="X25" s="22">
        <v>0</v>
      </c>
      <c r="Y25" s="22">
        <v>0</v>
      </c>
      <c r="Z25" s="22">
        <v>0</v>
      </c>
      <c r="AA25" s="22">
        <v>0</v>
      </c>
      <c r="AB25" s="22">
        <v>0</v>
      </c>
      <c r="AC25" s="22">
        <v>0</v>
      </c>
      <c r="AD25" s="6">
        <f t="shared" si="15"/>
        <v>2</v>
      </c>
      <c r="AF25" s="90"/>
      <c r="AG25" s="94"/>
      <c r="AH25" s="94"/>
      <c r="AI25" s="118"/>
      <c r="AJ25" s="94"/>
      <c r="AK25" s="94"/>
      <c r="AL25" s="94"/>
      <c r="AM25" s="94"/>
      <c r="AN25" s="94"/>
      <c r="AO25" s="94"/>
      <c r="AP25" s="33">
        <f t="shared" si="16"/>
        <v>0</v>
      </c>
      <c r="AS25" s="6" t="str">
        <f>+A13</f>
        <v>Hungary</v>
      </c>
      <c r="AT25" s="22">
        <f>+E13</f>
        <v>5</v>
      </c>
      <c r="AU25" s="6">
        <f>+U13</f>
        <v>2</v>
      </c>
      <c r="AV25" s="33">
        <f>+AF13+AK13</f>
        <v>146.81399999999999</v>
      </c>
    </row>
    <row r="26" spans="1:48">
      <c r="A26" s="128" t="s">
        <v>1063</v>
      </c>
      <c r="B26" s="20">
        <v>0</v>
      </c>
      <c r="C26" s="24">
        <v>0</v>
      </c>
      <c r="D26" s="24">
        <v>0</v>
      </c>
      <c r="E26" s="24">
        <v>0</v>
      </c>
      <c r="F26" s="24">
        <v>0</v>
      </c>
      <c r="G26" s="24">
        <v>0</v>
      </c>
      <c r="H26" s="24">
        <v>0</v>
      </c>
      <c r="I26" s="24">
        <v>0</v>
      </c>
      <c r="J26" s="24">
        <v>0</v>
      </c>
      <c r="K26" s="24">
        <v>0</v>
      </c>
      <c r="L26" s="24">
        <v>0</v>
      </c>
      <c r="M26" s="24">
        <v>0</v>
      </c>
      <c r="N26" s="24">
        <v>0</v>
      </c>
      <c r="O26" s="24">
        <v>0</v>
      </c>
      <c r="P26" s="24">
        <v>0</v>
      </c>
      <c r="Q26" s="24">
        <v>1</v>
      </c>
      <c r="R26" s="24">
        <v>0</v>
      </c>
      <c r="S26" s="24">
        <v>0</v>
      </c>
      <c r="T26" s="24">
        <v>3</v>
      </c>
      <c r="U26" s="24">
        <v>0</v>
      </c>
      <c r="V26" s="24">
        <v>0</v>
      </c>
      <c r="W26" s="24">
        <v>0</v>
      </c>
      <c r="X26" s="24">
        <v>0</v>
      </c>
      <c r="Y26" s="24">
        <v>0</v>
      </c>
      <c r="Z26" s="24">
        <v>0</v>
      </c>
      <c r="AA26" s="24">
        <v>0</v>
      </c>
      <c r="AB26" s="24">
        <v>0</v>
      </c>
      <c r="AC26" s="24">
        <v>4</v>
      </c>
      <c r="AD26" s="7">
        <f t="shared" si="15"/>
        <v>8</v>
      </c>
      <c r="AF26" s="47"/>
      <c r="AG26" s="95"/>
      <c r="AH26" s="95"/>
      <c r="AI26" s="170"/>
      <c r="AJ26" s="95">
        <v>1</v>
      </c>
      <c r="AK26" s="95"/>
      <c r="AL26" s="95"/>
      <c r="AM26" s="95"/>
      <c r="AN26" s="95"/>
      <c r="AO26" s="95">
        <v>305.05</v>
      </c>
      <c r="AP26" s="34">
        <f t="shared" si="16"/>
        <v>306.05</v>
      </c>
      <c r="AS26" s="6" t="str">
        <f>+A10</f>
        <v xml:space="preserve">Czech Republic </v>
      </c>
      <c r="AT26" s="22">
        <f>+E10</f>
        <v>5</v>
      </c>
      <c r="AU26" s="6">
        <f>+U14</f>
        <v>0</v>
      </c>
      <c r="AV26" s="33">
        <f>+AF10+AK10</f>
        <v>0</v>
      </c>
    </row>
    <row r="27" spans="1:48" ht="15.75" customHeight="1">
      <c r="A27" s="245" t="s">
        <v>626</v>
      </c>
      <c r="B27" s="253">
        <f>+B5+B8+B18</f>
        <v>2</v>
      </c>
      <c r="C27" s="253">
        <f t="shared" ref="C27:AC27" si="17">+C5+C8+C18</f>
        <v>12</v>
      </c>
      <c r="D27" s="253">
        <f t="shared" ref="D27" si="18">+D5+D8+D18</f>
        <v>1</v>
      </c>
      <c r="E27" s="557">
        <f>+E5+E8+E18</f>
        <v>48</v>
      </c>
      <c r="F27" s="253">
        <f t="shared" si="17"/>
        <v>5</v>
      </c>
      <c r="G27" s="253">
        <f t="shared" si="17"/>
        <v>1</v>
      </c>
      <c r="H27" s="253">
        <f t="shared" si="17"/>
        <v>33</v>
      </c>
      <c r="I27" s="253">
        <f t="shared" si="17"/>
        <v>56</v>
      </c>
      <c r="J27" s="253">
        <f t="shared" si="17"/>
        <v>1</v>
      </c>
      <c r="K27" s="253">
        <f t="shared" si="17"/>
        <v>103</v>
      </c>
      <c r="L27" s="253">
        <f t="shared" si="17"/>
        <v>7</v>
      </c>
      <c r="M27" s="253">
        <f t="shared" si="17"/>
        <v>14</v>
      </c>
      <c r="N27" s="253">
        <f t="shared" si="17"/>
        <v>37</v>
      </c>
      <c r="O27" s="253">
        <f t="shared" si="17"/>
        <v>24</v>
      </c>
      <c r="P27" s="253">
        <f t="shared" si="17"/>
        <v>172</v>
      </c>
      <c r="Q27" s="253">
        <f t="shared" si="17"/>
        <v>5</v>
      </c>
      <c r="R27" s="253">
        <f t="shared" si="17"/>
        <v>4</v>
      </c>
      <c r="S27" s="253">
        <f t="shared" si="17"/>
        <v>27</v>
      </c>
      <c r="T27" s="253">
        <f t="shared" si="17"/>
        <v>83</v>
      </c>
      <c r="U27" s="253">
        <f>+U5+U8+U18</f>
        <v>8</v>
      </c>
      <c r="V27" s="253">
        <f t="shared" ref="V27" si="19">+V5+V8+V18</f>
        <v>0</v>
      </c>
      <c r="W27" s="253">
        <f t="shared" si="17"/>
        <v>55</v>
      </c>
      <c r="X27" s="253">
        <f t="shared" si="17"/>
        <v>8</v>
      </c>
      <c r="Y27" s="253">
        <f t="shared" si="17"/>
        <v>0</v>
      </c>
      <c r="Z27" s="253">
        <f t="shared" si="17"/>
        <v>1</v>
      </c>
      <c r="AA27" s="253">
        <f t="shared" si="17"/>
        <v>0</v>
      </c>
      <c r="AB27" s="253">
        <f t="shared" si="17"/>
        <v>4</v>
      </c>
      <c r="AC27" s="253">
        <f t="shared" si="17"/>
        <v>50</v>
      </c>
      <c r="AD27" s="254">
        <f>+AD5+AD8+AD18</f>
        <v>761</v>
      </c>
      <c r="AE27" s="1"/>
      <c r="AF27" s="159">
        <f t="shared" ref="AF27:AP27" si="20">+AF5+AF8+AF18</f>
        <v>341.04200000000003</v>
      </c>
      <c r="AG27" s="160">
        <f t="shared" si="20"/>
        <v>329.19199999999995</v>
      </c>
      <c r="AH27" s="160">
        <f t="shared" si="20"/>
        <v>0</v>
      </c>
      <c r="AI27" s="171">
        <f t="shared" si="20"/>
        <v>1139.7282099999998</v>
      </c>
      <c r="AJ27" s="160">
        <f t="shared" si="20"/>
        <v>59.539000000000009</v>
      </c>
      <c r="AK27" s="160">
        <f t="shared" si="20"/>
        <v>26.972000000000001</v>
      </c>
      <c r="AL27" s="160">
        <f t="shared" si="20"/>
        <v>0</v>
      </c>
      <c r="AM27" s="160">
        <f t="shared" si="20"/>
        <v>20</v>
      </c>
      <c r="AN27" s="160">
        <f t="shared" si="20"/>
        <v>0</v>
      </c>
      <c r="AO27" s="160">
        <f t="shared" si="20"/>
        <v>2764.1550000000002</v>
      </c>
      <c r="AP27" s="209">
        <f t="shared" si="20"/>
        <v>4680.6282099999999</v>
      </c>
      <c r="AS27" s="6" t="str">
        <f>+A14</f>
        <v xml:space="preserve">Estonia </v>
      </c>
      <c r="AT27" s="22">
        <f>+E14</f>
        <v>4</v>
      </c>
      <c r="AU27" s="6">
        <f>+U14</f>
        <v>0</v>
      </c>
      <c r="AV27" s="33">
        <f>+AF14+AK14</f>
        <v>0</v>
      </c>
    </row>
    <row r="28" spans="1:48" ht="14.25" customHeight="1">
      <c r="B28" s="153"/>
      <c r="C28" s="153"/>
      <c r="D28" s="153"/>
      <c r="E28" s="153"/>
      <c r="F28" s="153"/>
      <c r="G28" s="153"/>
      <c r="H28" s="153"/>
      <c r="I28" s="153"/>
      <c r="J28" s="153"/>
      <c r="K28" s="153"/>
      <c r="L28" s="153"/>
      <c r="M28" s="153"/>
      <c r="N28" s="153"/>
      <c r="O28" s="153"/>
      <c r="P28" s="153"/>
      <c r="Q28" s="153"/>
      <c r="R28" s="153"/>
      <c r="S28" s="194"/>
      <c r="T28" s="153"/>
      <c r="U28" s="153"/>
      <c r="V28" s="153"/>
      <c r="W28" s="153"/>
      <c r="X28" s="153"/>
      <c r="Y28" s="153"/>
      <c r="Z28" s="153"/>
      <c r="AA28" s="153"/>
      <c r="AB28" s="153"/>
      <c r="AC28" s="153"/>
      <c r="AD28" s="153"/>
      <c r="AE28" s="153"/>
      <c r="AF28" s="194"/>
      <c r="AG28" s="194"/>
      <c r="AJ28" s="73"/>
      <c r="AK28" s="32"/>
      <c r="AL28" s="32"/>
      <c r="AM28" s="32"/>
      <c r="AP28" s="32"/>
      <c r="AS28" s="6" t="str">
        <f>+A22</f>
        <v>France</v>
      </c>
      <c r="AT28" s="22">
        <f>+E22</f>
        <v>3</v>
      </c>
      <c r="AU28" s="6">
        <f>+U22</f>
        <v>0</v>
      </c>
      <c r="AV28" s="33">
        <f>+AF22+AK22</f>
        <v>48</v>
      </c>
    </row>
    <row r="29" spans="1:48" ht="12.75" customHeight="1">
      <c r="B29" s="153"/>
      <c r="C29" s="153"/>
      <c r="D29" s="153"/>
      <c r="F29" s="153"/>
      <c r="G29" s="153"/>
      <c r="H29" s="153"/>
      <c r="I29" s="153"/>
      <c r="J29" s="153"/>
      <c r="K29" s="153"/>
      <c r="L29" s="153"/>
      <c r="M29" s="153"/>
      <c r="N29" s="153"/>
      <c r="O29" s="153"/>
      <c r="P29" s="153"/>
      <c r="Q29" s="153"/>
      <c r="R29" s="153"/>
      <c r="S29" s="194"/>
      <c r="T29" s="153"/>
      <c r="U29" s="153"/>
      <c r="V29" s="153"/>
      <c r="W29" s="153"/>
      <c r="X29" s="153"/>
      <c r="Y29" s="153"/>
      <c r="Z29" s="153"/>
      <c r="AA29" s="153"/>
      <c r="AB29" s="153"/>
      <c r="AC29" s="153"/>
      <c r="AD29" s="153"/>
      <c r="AE29" s="153"/>
      <c r="AF29" s="153"/>
      <c r="AG29" s="194"/>
      <c r="AJ29" s="73"/>
      <c r="AS29" s="6" t="str">
        <f>+A11</f>
        <v>Romania</v>
      </c>
      <c r="AT29" s="22">
        <f>+E11</f>
        <v>2</v>
      </c>
      <c r="AU29" s="6">
        <f>+U11</f>
        <v>0</v>
      </c>
      <c r="AV29" s="33">
        <f>+AF11+AK11</f>
        <v>0</v>
      </c>
    </row>
    <row r="30" spans="1:48">
      <c r="A30" t="s">
        <v>324</v>
      </c>
      <c r="B30" s="153"/>
      <c r="C30" s="153"/>
      <c r="D30" s="153"/>
      <c r="E30" s="153"/>
      <c r="F30" s="153"/>
      <c r="G30" s="153"/>
      <c r="H30" s="153"/>
      <c r="I30" s="153"/>
      <c r="J30" s="153"/>
      <c r="K30" s="153"/>
      <c r="L30" s="153"/>
      <c r="M30" s="153"/>
      <c r="N30" s="153"/>
      <c r="O30" s="153"/>
      <c r="P30" s="153"/>
      <c r="Q30" s="153"/>
      <c r="R30" s="153"/>
      <c r="S30" s="153"/>
      <c r="T30" s="153"/>
      <c r="U30" s="153"/>
      <c r="V30" s="153"/>
      <c r="W30" s="153"/>
      <c r="X30" s="153"/>
      <c r="Y30" s="153"/>
      <c r="Z30" s="153"/>
      <c r="AA30" s="153"/>
      <c r="AB30" s="153"/>
      <c r="AC30" s="153"/>
      <c r="AD30" s="153"/>
      <c r="AE30" s="153"/>
      <c r="AF30" s="153"/>
      <c r="AG30" s="153"/>
      <c r="AJ30" s="25"/>
      <c r="AS30" s="6" t="str">
        <f>+A12</f>
        <v>Poland</v>
      </c>
      <c r="AT30" s="22">
        <f>+E12</f>
        <v>1</v>
      </c>
      <c r="AU30" s="6">
        <f>+U12</f>
        <v>1</v>
      </c>
      <c r="AV30" s="33">
        <f>+AF12+AK12</f>
        <v>0</v>
      </c>
    </row>
    <row r="31" spans="1:48" ht="42" customHeight="1">
      <c r="A31" s="301" t="s">
        <v>631</v>
      </c>
      <c r="B31" s="957" t="s">
        <v>1586</v>
      </c>
      <c r="C31" s="958" t="s">
        <v>1059</v>
      </c>
      <c r="D31" s="962" t="s">
        <v>3656</v>
      </c>
      <c r="E31" s="958" t="s">
        <v>1082</v>
      </c>
      <c r="F31" s="958" t="s">
        <v>973</v>
      </c>
      <c r="G31" s="959" t="s">
        <v>2399</v>
      </c>
      <c r="H31" s="958" t="s">
        <v>845</v>
      </c>
      <c r="I31" s="958" t="s">
        <v>1467</v>
      </c>
      <c r="J31" s="958" t="s">
        <v>910</v>
      </c>
      <c r="K31" s="958" t="s">
        <v>911</v>
      </c>
      <c r="L31" s="958" t="s">
        <v>1576</v>
      </c>
      <c r="M31" s="958" t="s">
        <v>719</v>
      </c>
      <c r="N31" s="958" t="s">
        <v>1735</v>
      </c>
      <c r="O31" s="958" t="s">
        <v>1588</v>
      </c>
      <c r="P31" s="958" t="s">
        <v>720</v>
      </c>
      <c r="Q31" s="958" t="s">
        <v>972</v>
      </c>
      <c r="R31" s="958" t="s">
        <v>640</v>
      </c>
      <c r="S31" s="958" t="s">
        <v>971</v>
      </c>
      <c r="T31" s="958" t="s">
        <v>1488</v>
      </c>
      <c r="U31" s="962" t="s">
        <v>3238</v>
      </c>
      <c r="V31" s="962" t="s">
        <v>4048</v>
      </c>
      <c r="W31" s="958" t="s">
        <v>981</v>
      </c>
      <c r="X31" s="959" t="s">
        <v>2318</v>
      </c>
      <c r="Y31" s="958" t="s">
        <v>1585</v>
      </c>
      <c r="Z31" s="958" t="s">
        <v>701</v>
      </c>
      <c r="AA31" s="958" t="s">
        <v>897</v>
      </c>
      <c r="AB31" s="958" t="s">
        <v>1483</v>
      </c>
      <c r="AC31" s="960" t="s">
        <v>970</v>
      </c>
      <c r="AD31" s="956" t="s">
        <v>974</v>
      </c>
      <c r="AE31" s="153"/>
      <c r="AF31" s="153"/>
      <c r="AG31" s="153"/>
      <c r="AJ31" s="25"/>
      <c r="AS31" s="9" t="str">
        <f>+A15</f>
        <v>Latvia</v>
      </c>
      <c r="AT31">
        <f>+E15</f>
        <v>0</v>
      </c>
      <c r="AU31" s="7">
        <f>+U15</f>
        <v>0</v>
      </c>
      <c r="AV31" s="34">
        <f>+AF15+AK15</f>
        <v>0</v>
      </c>
    </row>
    <row r="32" spans="1:48">
      <c r="A32" s="36" t="s">
        <v>625</v>
      </c>
      <c r="B32" s="139">
        <f t="shared" ref="B32:AC32" si="21">+B33+B34</f>
        <v>1768.894</v>
      </c>
      <c r="C32" s="139">
        <f t="shared" si="21"/>
        <v>28224.647400000002</v>
      </c>
      <c r="D32" s="133">
        <f t="shared" ref="D32" si="22">+D33+D34</f>
        <v>560.56899999999996</v>
      </c>
      <c r="E32" s="139">
        <f t="shared" si="21"/>
        <v>8488.9349999999977</v>
      </c>
      <c r="F32" s="139">
        <f t="shared" si="21"/>
        <v>5526.0709999999999</v>
      </c>
      <c r="G32" s="139">
        <f t="shared" si="21"/>
        <v>1070.9079999999999</v>
      </c>
      <c r="H32" s="139">
        <f t="shared" si="21"/>
        <v>46423.448595000002</v>
      </c>
      <c r="I32" s="139">
        <f t="shared" si="21"/>
        <v>80283.568398999996</v>
      </c>
      <c r="J32" s="139">
        <f t="shared" si="21"/>
        <v>3492.6400000000003</v>
      </c>
      <c r="K32" s="139">
        <f t="shared" si="21"/>
        <v>197294.60803800003</v>
      </c>
      <c r="L32" s="139">
        <f t="shared" si="21"/>
        <v>11116.971</v>
      </c>
      <c r="M32" s="139">
        <f t="shared" si="21"/>
        <v>9336.5014239999982</v>
      </c>
      <c r="N32" s="139">
        <f t="shared" si="21"/>
        <v>41459.382287</v>
      </c>
      <c r="O32" s="139">
        <f t="shared" si="21"/>
        <v>38842.596583999999</v>
      </c>
      <c r="P32" s="139">
        <f t="shared" si="21"/>
        <v>627836.05462999979</v>
      </c>
      <c r="Q32" s="139">
        <f t="shared" si="21"/>
        <v>0</v>
      </c>
      <c r="R32" s="139">
        <f t="shared" si="21"/>
        <v>42081.883999999991</v>
      </c>
      <c r="S32" s="139">
        <f t="shared" si="21"/>
        <v>8222.9278457399996</v>
      </c>
      <c r="T32" s="139">
        <f t="shared" si="21"/>
        <v>11249.645809000001</v>
      </c>
      <c r="U32" s="133">
        <f>+U33+U34</f>
        <v>1296.8931999999998</v>
      </c>
      <c r="V32" s="133">
        <f t="shared" ref="V32" si="23">+V33+V34</f>
        <v>0</v>
      </c>
      <c r="W32" s="139">
        <f t="shared" si="21"/>
        <v>36984.246950000001</v>
      </c>
      <c r="X32" s="139">
        <f t="shared" si="21"/>
        <v>31183.882999999994</v>
      </c>
      <c r="Y32" s="139">
        <f t="shared" si="21"/>
        <v>0</v>
      </c>
      <c r="Z32" s="139">
        <f t="shared" si="21"/>
        <v>38.067975000000004</v>
      </c>
      <c r="AA32" s="139">
        <f t="shared" si="21"/>
        <v>0</v>
      </c>
      <c r="AB32" s="139">
        <f t="shared" si="21"/>
        <v>9223.634</v>
      </c>
      <c r="AC32" s="139">
        <f t="shared" si="21"/>
        <v>3353.9580000000001</v>
      </c>
      <c r="AD32" s="158">
        <f>+AD33+AD34</f>
        <v>1245360.9361367398</v>
      </c>
      <c r="AJ32" s="25"/>
      <c r="AS32" s="10" t="s">
        <v>974</v>
      </c>
      <c r="AT32" s="10">
        <f>SUM(AT22:AT31)</f>
        <v>48</v>
      </c>
      <c r="AU32" s="10">
        <f>SUM(AU22:AU31)</f>
        <v>8</v>
      </c>
      <c r="AV32" s="96">
        <f>SUM(AV22:AV31)</f>
        <v>368.01400000000001</v>
      </c>
    </row>
    <row r="33" spans="1:48">
      <c r="A33" s="46" t="s">
        <v>1176</v>
      </c>
      <c r="B33" s="94">
        <v>1768.894</v>
      </c>
      <c r="C33" s="94">
        <v>0</v>
      </c>
      <c r="D33" s="94">
        <v>560.56899999999996</v>
      </c>
      <c r="E33" s="94">
        <v>7258.3149999999987</v>
      </c>
      <c r="F33" s="94">
        <v>1108.163</v>
      </c>
      <c r="G33" s="94">
        <v>1070.9079999999999</v>
      </c>
      <c r="H33" s="94">
        <v>17898.558000000001</v>
      </c>
      <c r="I33" s="94">
        <v>6372.5022989999998</v>
      </c>
      <c r="J33" s="94">
        <v>0</v>
      </c>
      <c r="K33" s="94">
        <v>72255.402038</v>
      </c>
      <c r="L33" s="94">
        <v>0</v>
      </c>
      <c r="M33" s="94">
        <v>0</v>
      </c>
      <c r="N33" s="94">
        <v>22629.627287000003</v>
      </c>
      <c r="O33" s="94">
        <v>33174.480583999997</v>
      </c>
      <c r="P33" s="94">
        <v>213995.82263000001</v>
      </c>
      <c r="Q33" s="94">
        <v>0</v>
      </c>
      <c r="R33" s="94">
        <v>42081.883999999991</v>
      </c>
      <c r="S33" s="94">
        <v>6207.6378457399996</v>
      </c>
      <c r="T33" s="94">
        <v>9613.0500000000011</v>
      </c>
      <c r="U33" s="94">
        <v>92.637</v>
      </c>
      <c r="V33" s="94">
        <v>0</v>
      </c>
      <c r="W33" s="94">
        <v>31427.88</v>
      </c>
      <c r="X33" s="94">
        <v>31183.882999999994</v>
      </c>
      <c r="Y33" s="94">
        <v>0</v>
      </c>
      <c r="Z33" s="94">
        <v>0</v>
      </c>
      <c r="AA33" s="94">
        <v>0</v>
      </c>
      <c r="AB33" s="94">
        <v>0</v>
      </c>
      <c r="AC33" s="94">
        <v>0</v>
      </c>
      <c r="AD33" s="33">
        <f>SUM(B33:AC33)</f>
        <v>498700.21368373994</v>
      </c>
      <c r="AJ33" s="25"/>
    </row>
    <row r="34" spans="1:48">
      <c r="A34" s="44" t="s">
        <v>707</v>
      </c>
      <c r="B34" s="95">
        <v>0</v>
      </c>
      <c r="C34" s="95">
        <v>28224.647400000002</v>
      </c>
      <c r="D34" s="95">
        <v>0</v>
      </c>
      <c r="E34" s="95">
        <v>1230.6199999999999</v>
      </c>
      <c r="F34" s="95">
        <v>4417.9079999999994</v>
      </c>
      <c r="G34" s="95">
        <v>0</v>
      </c>
      <c r="H34" s="95">
        <v>28524.890595000001</v>
      </c>
      <c r="I34" s="95">
        <v>73911.066099999996</v>
      </c>
      <c r="J34" s="95">
        <v>3492.6400000000003</v>
      </c>
      <c r="K34" s="95">
        <v>125039.20600000003</v>
      </c>
      <c r="L34" s="95">
        <v>11116.971</v>
      </c>
      <c r="M34" s="95">
        <v>9336.5014239999982</v>
      </c>
      <c r="N34" s="95">
        <v>18829.754999999994</v>
      </c>
      <c r="O34" s="95">
        <v>5668.1160000000009</v>
      </c>
      <c r="P34" s="95">
        <v>413840.23199999979</v>
      </c>
      <c r="Q34" s="95">
        <v>0</v>
      </c>
      <c r="R34" s="95">
        <v>0</v>
      </c>
      <c r="S34" s="95">
        <v>2015.29</v>
      </c>
      <c r="T34" s="95">
        <v>1636.5958090000001</v>
      </c>
      <c r="U34" s="95">
        <v>1204.2561999999998</v>
      </c>
      <c r="V34" s="95">
        <v>0</v>
      </c>
      <c r="W34" s="95">
        <v>5556.3669499999996</v>
      </c>
      <c r="X34" s="95">
        <v>0</v>
      </c>
      <c r="Y34" s="95">
        <v>0</v>
      </c>
      <c r="Z34" s="95">
        <v>38.067975000000004</v>
      </c>
      <c r="AA34" s="95">
        <v>0</v>
      </c>
      <c r="AB34" s="95">
        <v>9223.634</v>
      </c>
      <c r="AC34" s="95">
        <v>3353.9580000000001</v>
      </c>
      <c r="AD34" s="34">
        <f>SUM(B34:AC34)</f>
        <v>746660.72245299979</v>
      </c>
    </row>
    <row r="35" spans="1:48">
      <c r="A35" s="36" t="s">
        <v>396</v>
      </c>
      <c r="B35" s="164">
        <f t="shared" ref="B35:AC35" si="24">SUM(B36:B44)</f>
        <v>410.04599999999999</v>
      </c>
      <c r="C35" s="164">
        <f t="shared" si="24"/>
        <v>0</v>
      </c>
      <c r="D35" s="164">
        <f t="shared" ref="D35" si="25">SUM(D36:D44)</f>
        <v>0</v>
      </c>
      <c r="E35" s="164">
        <f t="shared" si="24"/>
        <v>6349.5209999999997</v>
      </c>
      <c r="F35" s="164">
        <f t="shared" si="24"/>
        <v>567.85799999999995</v>
      </c>
      <c r="G35" s="164">
        <f t="shared" si="24"/>
        <v>0</v>
      </c>
      <c r="H35" s="164">
        <f t="shared" si="24"/>
        <v>2221.8215</v>
      </c>
      <c r="I35" s="164">
        <f t="shared" si="24"/>
        <v>3407.663</v>
      </c>
      <c r="J35" s="164">
        <f t="shared" si="24"/>
        <v>0</v>
      </c>
      <c r="K35" s="164">
        <f t="shared" si="24"/>
        <v>2317.2505000000001</v>
      </c>
      <c r="L35" s="164">
        <f t="shared" si="24"/>
        <v>0</v>
      </c>
      <c r="M35" s="164">
        <f t="shared" si="24"/>
        <v>0</v>
      </c>
      <c r="N35" s="164">
        <f t="shared" si="24"/>
        <v>1636.547</v>
      </c>
      <c r="O35" s="164">
        <f t="shared" si="24"/>
        <v>2447.076</v>
      </c>
      <c r="P35" s="164">
        <f t="shared" si="24"/>
        <v>668.17200000000003</v>
      </c>
      <c r="Q35" s="164">
        <f t="shared" si="24"/>
        <v>1008.261</v>
      </c>
      <c r="R35" s="164">
        <f t="shared" si="24"/>
        <v>0</v>
      </c>
      <c r="S35" s="164">
        <f t="shared" si="24"/>
        <v>5936.0499999999993</v>
      </c>
      <c r="T35" s="164">
        <f t="shared" si="24"/>
        <v>5744.7311520000003</v>
      </c>
      <c r="U35" s="164">
        <f>SUM(U36:U44)</f>
        <v>2149.2169999999996</v>
      </c>
      <c r="V35" s="164">
        <f t="shared" ref="V35" si="26">SUM(V36:V44)</f>
        <v>0</v>
      </c>
      <c r="W35" s="164">
        <f t="shared" si="24"/>
        <v>41060.0539565</v>
      </c>
      <c r="X35" s="164">
        <f t="shared" si="24"/>
        <v>0</v>
      </c>
      <c r="Y35" s="164">
        <f t="shared" si="24"/>
        <v>0</v>
      </c>
      <c r="Z35" s="164">
        <f t="shared" si="24"/>
        <v>0</v>
      </c>
      <c r="AA35" s="164">
        <f t="shared" si="24"/>
        <v>0</v>
      </c>
      <c r="AB35" s="164">
        <f t="shared" si="24"/>
        <v>0</v>
      </c>
      <c r="AC35" s="164">
        <f t="shared" si="24"/>
        <v>8073.1226809999998</v>
      </c>
      <c r="AD35" s="234">
        <f>SUM(AD36:AD44)</f>
        <v>83997.390789500001</v>
      </c>
    </row>
    <row r="36" spans="1:48">
      <c r="A36" s="46" t="s">
        <v>573</v>
      </c>
      <c r="B36" s="32">
        <v>0</v>
      </c>
      <c r="C36" s="32">
        <v>0</v>
      </c>
      <c r="D36" s="32">
        <v>0</v>
      </c>
      <c r="E36" s="32">
        <v>1492.9899999999998</v>
      </c>
      <c r="F36" s="32">
        <v>0</v>
      </c>
      <c r="G36" s="32">
        <v>0</v>
      </c>
      <c r="H36" s="32">
        <v>0</v>
      </c>
      <c r="I36" s="32">
        <v>2600.94</v>
      </c>
      <c r="J36" s="32">
        <v>0</v>
      </c>
      <c r="K36" s="32">
        <v>1426.14</v>
      </c>
      <c r="L36" s="32">
        <v>0</v>
      </c>
      <c r="M36" s="32">
        <v>0</v>
      </c>
      <c r="N36" s="32">
        <v>348.9</v>
      </c>
      <c r="O36" s="32">
        <v>2341.1559999999999</v>
      </c>
      <c r="P36" s="32">
        <v>520.64300000000003</v>
      </c>
      <c r="Q36" s="32">
        <v>0</v>
      </c>
      <c r="R36" s="32">
        <v>0</v>
      </c>
      <c r="S36" s="32">
        <v>3156.9179999999997</v>
      </c>
      <c r="T36" s="32">
        <v>125.464</v>
      </c>
      <c r="U36" s="32">
        <v>994.16</v>
      </c>
      <c r="V36" s="32">
        <v>0</v>
      </c>
      <c r="W36" s="32">
        <v>2127.7159999999999</v>
      </c>
      <c r="X36" s="32">
        <v>0</v>
      </c>
      <c r="Y36" s="32">
        <v>0</v>
      </c>
      <c r="Z36" s="32">
        <v>0</v>
      </c>
      <c r="AA36" s="32">
        <v>0</v>
      </c>
      <c r="AB36" s="32">
        <v>0</v>
      </c>
      <c r="AC36" s="32">
        <v>1543.95525</v>
      </c>
      <c r="AD36" s="33">
        <f t="shared" ref="AD36:AD44" si="27">SUM(B36:AC36)</f>
        <v>16678.982250000001</v>
      </c>
    </row>
    <row r="37" spans="1:48">
      <c r="A37" s="46" t="s">
        <v>265</v>
      </c>
      <c r="B37" s="32">
        <v>0</v>
      </c>
      <c r="C37" s="32">
        <v>0</v>
      </c>
      <c r="D37" s="32">
        <v>0</v>
      </c>
      <c r="E37" s="32">
        <v>620.41500000000019</v>
      </c>
      <c r="F37" s="32">
        <v>0</v>
      </c>
      <c r="G37" s="32">
        <v>0</v>
      </c>
      <c r="H37" s="32">
        <v>0</v>
      </c>
      <c r="I37" s="32">
        <v>101.41999999999999</v>
      </c>
      <c r="J37" s="32">
        <v>0</v>
      </c>
      <c r="K37" s="32">
        <v>0</v>
      </c>
      <c r="L37" s="32">
        <v>0</v>
      </c>
      <c r="M37" s="32">
        <v>0</v>
      </c>
      <c r="N37" s="32">
        <v>0</v>
      </c>
      <c r="O37" s="32">
        <v>0</v>
      </c>
      <c r="P37" s="32">
        <v>0</v>
      </c>
      <c r="Q37" s="32">
        <v>0</v>
      </c>
      <c r="R37" s="32">
        <v>0</v>
      </c>
      <c r="S37" s="32">
        <v>307.68600000000004</v>
      </c>
      <c r="T37" s="32">
        <v>2106.9260000000008</v>
      </c>
      <c r="U37" s="32">
        <v>0</v>
      </c>
      <c r="V37" s="32">
        <v>0</v>
      </c>
      <c r="W37" s="32">
        <v>2975</v>
      </c>
      <c r="X37" s="32">
        <v>0</v>
      </c>
      <c r="Y37" s="32">
        <v>0</v>
      </c>
      <c r="Z37" s="32">
        <v>0</v>
      </c>
      <c r="AA37" s="32">
        <v>0</v>
      </c>
      <c r="AB37" s="32">
        <v>0</v>
      </c>
      <c r="AC37" s="32">
        <v>0</v>
      </c>
      <c r="AD37" s="33">
        <f t="shared" si="27"/>
        <v>6111.447000000001</v>
      </c>
    </row>
    <row r="38" spans="1:48" ht="13.5" customHeight="1">
      <c r="A38" s="46" t="s">
        <v>1587</v>
      </c>
      <c r="B38" s="32">
        <v>410.04599999999999</v>
      </c>
      <c r="C38" s="32">
        <v>0</v>
      </c>
      <c r="D38" s="32">
        <v>0</v>
      </c>
      <c r="E38" s="32">
        <v>581.76900000000001</v>
      </c>
      <c r="F38" s="32">
        <v>0</v>
      </c>
      <c r="G38" s="32">
        <v>0</v>
      </c>
      <c r="H38" s="32">
        <v>0</v>
      </c>
      <c r="I38" s="32">
        <v>705.303</v>
      </c>
      <c r="J38" s="32">
        <v>0</v>
      </c>
      <c r="K38" s="32">
        <v>888.34500000000003</v>
      </c>
      <c r="L38" s="32">
        <v>0</v>
      </c>
      <c r="M38" s="32">
        <v>0</v>
      </c>
      <c r="N38" s="32">
        <v>1287.6469999999999</v>
      </c>
      <c r="O38" s="32">
        <v>105.92</v>
      </c>
      <c r="P38" s="32">
        <v>0</v>
      </c>
      <c r="Q38" s="32">
        <v>119.27</v>
      </c>
      <c r="R38" s="32">
        <v>0</v>
      </c>
      <c r="S38" s="32">
        <v>2422.7880000000005</v>
      </c>
      <c r="T38" s="32">
        <v>0</v>
      </c>
      <c r="U38" s="32">
        <v>0</v>
      </c>
      <c r="V38" s="32">
        <v>0</v>
      </c>
      <c r="W38" s="32">
        <v>10610.20261</v>
      </c>
      <c r="X38" s="32">
        <v>0</v>
      </c>
      <c r="Y38" s="32">
        <v>0</v>
      </c>
      <c r="Z38" s="32">
        <v>0</v>
      </c>
      <c r="AA38" s="32">
        <v>0</v>
      </c>
      <c r="AB38" s="32">
        <v>0</v>
      </c>
      <c r="AC38" s="32">
        <v>650.69299999999998</v>
      </c>
      <c r="AD38" s="33">
        <f t="shared" si="27"/>
        <v>17781.983609999999</v>
      </c>
    </row>
    <row r="39" spans="1:48">
      <c r="A39" s="46" t="s">
        <v>847</v>
      </c>
      <c r="B39" s="32">
        <v>0</v>
      </c>
      <c r="C39" s="32">
        <v>0</v>
      </c>
      <c r="D39" s="32">
        <v>0</v>
      </c>
      <c r="E39" s="32">
        <v>4.3449999999999998</v>
      </c>
      <c r="F39" s="32">
        <v>567.85799999999995</v>
      </c>
      <c r="G39" s="32">
        <v>0</v>
      </c>
      <c r="H39" s="32">
        <v>2159.3215</v>
      </c>
      <c r="I39" s="32">
        <v>0</v>
      </c>
      <c r="J39" s="32">
        <v>0</v>
      </c>
      <c r="K39" s="32">
        <v>0</v>
      </c>
      <c r="L39" s="32">
        <v>0</v>
      </c>
      <c r="M39" s="32">
        <v>0</v>
      </c>
      <c r="N39" s="32">
        <v>0</v>
      </c>
      <c r="O39" s="32">
        <v>0</v>
      </c>
      <c r="P39" s="32">
        <v>0</v>
      </c>
      <c r="Q39" s="32">
        <v>307.32</v>
      </c>
      <c r="R39" s="32">
        <v>0</v>
      </c>
      <c r="S39" s="32">
        <v>11.712999999999999</v>
      </c>
      <c r="T39" s="32">
        <v>1824.075</v>
      </c>
      <c r="U39" s="32">
        <v>699.79700000000003</v>
      </c>
      <c r="V39" s="32">
        <v>0</v>
      </c>
      <c r="W39" s="32">
        <v>14432.149590000001</v>
      </c>
      <c r="X39" s="32">
        <v>0</v>
      </c>
      <c r="Y39" s="32">
        <v>0</v>
      </c>
      <c r="Z39" s="32">
        <v>0</v>
      </c>
      <c r="AA39" s="32">
        <v>0</v>
      </c>
      <c r="AB39" s="32">
        <v>0</v>
      </c>
      <c r="AC39" s="32">
        <v>3519.2820000000002</v>
      </c>
      <c r="AD39" s="33">
        <f t="shared" si="27"/>
        <v>23525.861089999999</v>
      </c>
    </row>
    <row r="40" spans="1:48">
      <c r="A40" s="46" t="s">
        <v>833</v>
      </c>
      <c r="B40" s="32">
        <v>0</v>
      </c>
      <c r="C40" s="32">
        <v>0</v>
      </c>
      <c r="D40" s="32">
        <v>0</v>
      </c>
      <c r="E40" s="32">
        <v>3502.3720000000003</v>
      </c>
      <c r="F40" s="32">
        <v>0</v>
      </c>
      <c r="G40" s="32">
        <v>0</v>
      </c>
      <c r="H40" s="32">
        <v>0</v>
      </c>
      <c r="I40" s="32">
        <v>0</v>
      </c>
      <c r="J40" s="32">
        <v>0</v>
      </c>
      <c r="K40" s="32">
        <v>2.7655000000000003</v>
      </c>
      <c r="L40" s="32">
        <v>0</v>
      </c>
      <c r="M40" s="32">
        <v>0</v>
      </c>
      <c r="N40" s="32">
        <v>0</v>
      </c>
      <c r="O40" s="32">
        <v>0</v>
      </c>
      <c r="P40" s="32">
        <v>0</v>
      </c>
      <c r="Q40" s="32">
        <v>581.67100000000005</v>
      </c>
      <c r="R40" s="32">
        <v>0</v>
      </c>
      <c r="S40" s="32">
        <v>0</v>
      </c>
      <c r="T40" s="32">
        <v>1070.7090000000001</v>
      </c>
      <c r="U40" s="32">
        <v>455.26</v>
      </c>
      <c r="V40" s="32">
        <v>0</v>
      </c>
      <c r="W40" s="32">
        <v>4000</v>
      </c>
      <c r="X40" s="32">
        <v>0</v>
      </c>
      <c r="Y40" s="32">
        <v>0</v>
      </c>
      <c r="Z40" s="32">
        <v>0</v>
      </c>
      <c r="AA40" s="32">
        <v>0</v>
      </c>
      <c r="AB40" s="32">
        <v>0</v>
      </c>
      <c r="AC40" s="32">
        <v>0</v>
      </c>
      <c r="AD40" s="33">
        <f t="shared" si="27"/>
        <v>9612.7775000000001</v>
      </c>
    </row>
    <row r="41" spans="1:48">
      <c r="A41" s="46" t="s">
        <v>975</v>
      </c>
      <c r="B41" s="32">
        <v>0</v>
      </c>
      <c r="C41" s="32">
        <v>0</v>
      </c>
      <c r="D41" s="32">
        <v>0</v>
      </c>
      <c r="E41" s="32">
        <v>147.63</v>
      </c>
      <c r="F41" s="32">
        <v>0</v>
      </c>
      <c r="G41" s="32">
        <v>0</v>
      </c>
      <c r="H41" s="32">
        <v>0</v>
      </c>
      <c r="I41" s="32">
        <v>0</v>
      </c>
      <c r="J41" s="32">
        <v>0</v>
      </c>
      <c r="K41" s="32">
        <v>0</v>
      </c>
      <c r="L41" s="32">
        <v>0</v>
      </c>
      <c r="M41" s="32">
        <v>0</v>
      </c>
      <c r="N41" s="32">
        <v>0</v>
      </c>
      <c r="O41" s="32">
        <v>0</v>
      </c>
      <c r="P41" s="32">
        <v>0</v>
      </c>
      <c r="Q41" s="32">
        <v>0</v>
      </c>
      <c r="R41" s="32">
        <v>0</v>
      </c>
      <c r="S41" s="32">
        <v>36.945</v>
      </c>
      <c r="T41" s="32">
        <v>88.516000000000005</v>
      </c>
      <c r="U41" s="32">
        <v>0</v>
      </c>
      <c r="V41" s="32">
        <v>0</v>
      </c>
      <c r="W41" s="32">
        <v>0</v>
      </c>
      <c r="X41" s="32">
        <v>0</v>
      </c>
      <c r="Y41" s="32">
        <v>0</v>
      </c>
      <c r="Z41" s="32">
        <v>0</v>
      </c>
      <c r="AA41" s="32">
        <v>0</v>
      </c>
      <c r="AB41" s="32">
        <v>0</v>
      </c>
      <c r="AC41" s="32">
        <v>1291.7867000000001</v>
      </c>
      <c r="AD41" s="33">
        <f t="shared" si="27"/>
        <v>1564.8777</v>
      </c>
    </row>
    <row r="42" spans="1:48">
      <c r="A42" s="255" t="s">
        <v>976</v>
      </c>
      <c r="B42" s="32">
        <v>0</v>
      </c>
      <c r="C42" s="32">
        <v>0</v>
      </c>
      <c r="D42" s="32">
        <v>0</v>
      </c>
      <c r="E42" s="32">
        <v>0</v>
      </c>
      <c r="F42" s="32">
        <v>0</v>
      </c>
      <c r="G42" s="32">
        <v>0</v>
      </c>
      <c r="H42" s="32">
        <v>0</v>
      </c>
      <c r="I42" s="32">
        <v>0</v>
      </c>
      <c r="J42" s="32">
        <v>0</v>
      </c>
      <c r="K42" s="32">
        <v>0</v>
      </c>
      <c r="L42" s="32">
        <v>0</v>
      </c>
      <c r="M42" s="32">
        <v>0</v>
      </c>
      <c r="N42" s="32">
        <v>0</v>
      </c>
      <c r="O42" s="32">
        <v>0</v>
      </c>
      <c r="P42" s="32">
        <v>0</v>
      </c>
      <c r="Q42" s="32">
        <v>0</v>
      </c>
      <c r="R42" s="32">
        <v>0</v>
      </c>
      <c r="S42" s="32">
        <v>0</v>
      </c>
      <c r="T42" s="32">
        <v>300.66500000000002</v>
      </c>
      <c r="U42" s="32">
        <v>0</v>
      </c>
      <c r="V42" s="32">
        <v>0</v>
      </c>
      <c r="W42" s="32">
        <v>0</v>
      </c>
      <c r="X42" s="32">
        <v>0</v>
      </c>
      <c r="Y42" s="32">
        <v>0</v>
      </c>
      <c r="Z42" s="32">
        <v>0</v>
      </c>
      <c r="AA42" s="32">
        <v>0</v>
      </c>
      <c r="AB42" s="32">
        <v>0</v>
      </c>
      <c r="AC42" s="32">
        <v>0</v>
      </c>
      <c r="AD42" s="33">
        <f t="shared" si="27"/>
        <v>300.66500000000002</v>
      </c>
    </row>
    <row r="43" spans="1:48">
      <c r="A43" s="46" t="s">
        <v>879</v>
      </c>
      <c r="B43" s="32">
        <v>0</v>
      </c>
      <c r="C43" s="32">
        <v>0</v>
      </c>
      <c r="D43" s="32">
        <v>0</v>
      </c>
      <c r="E43" s="32">
        <v>0</v>
      </c>
      <c r="F43" s="32">
        <v>0</v>
      </c>
      <c r="G43" s="32">
        <v>0</v>
      </c>
      <c r="H43" s="32">
        <v>0</v>
      </c>
      <c r="I43" s="32">
        <v>0</v>
      </c>
      <c r="J43" s="32">
        <v>0</v>
      </c>
      <c r="K43" s="32">
        <v>0</v>
      </c>
      <c r="L43" s="32">
        <v>0</v>
      </c>
      <c r="M43" s="32">
        <v>0</v>
      </c>
      <c r="N43" s="32">
        <v>0</v>
      </c>
      <c r="O43" s="32">
        <v>0</v>
      </c>
      <c r="P43" s="32">
        <v>147.529</v>
      </c>
      <c r="Q43" s="32">
        <v>0</v>
      </c>
      <c r="R43" s="32">
        <v>0</v>
      </c>
      <c r="S43" s="32">
        <v>0</v>
      </c>
      <c r="T43" s="32">
        <v>152.358</v>
      </c>
      <c r="U43" s="32">
        <v>0</v>
      </c>
      <c r="V43" s="32">
        <v>0</v>
      </c>
      <c r="W43" s="32">
        <v>6914.9857565000002</v>
      </c>
      <c r="X43" s="32">
        <v>0</v>
      </c>
      <c r="Y43" s="32">
        <v>0</v>
      </c>
      <c r="Z43" s="32">
        <v>0</v>
      </c>
      <c r="AA43" s="32">
        <v>0</v>
      </c>
      <c r="AB43" s="32">
        <v>0</v>
      </c>
      <c r="AC43" s="32">
        <v>1067.4057310000001</v>
      </c>
      <c r="AD43" s="33">
        <f t="shared" si="27"/>
        <v>8282.2784874999998</v>
      </c>
    </row>
    <row r="44" spans="1:48">
      <c r="A44" s="44" t="s">
        <v>834</v>
      </c>
      <c r="B44" s="94">
        <v>0</v>
      </c>
      <c r="C44" s="32">
        <v>0</v>
      </c>
      <c r="D44" s="32">
        <v>0</v>
      </c>
      <c r="E44" s="32">
        <v>0</v>
      </c>
      <c r="F44" s="32">
        <v>0</v>
      </c>
      <c r="G44" s="32">
        <v>0</v>
      </c>
      <c r="H44" s="32">
        <v>62.5</v>
      </c>
      <c r="I44" s="32">
        <v>0</v>
      </c>
      <c r="J44" s="32">
        <v>0</v>
      </c>
      <c r="K44" s="32">
        <v>0</v>
      </c>
      <c r="L44" s="32">
        <v>0</v>
      </c>
      <c r="M44" s="32">
        <v>0</v>
      </c>
      <c r="N44" s="32">
        <v>0</v>
      </c>
      <c r="O44" s="32">
        <v>0</v>
      </c>
      <c r="P44" s="32">
        <v>0</v>
      </c>
      <c r="Q44" s="32">
        <v>0</v>
      </c>
      <c r="R44" s="32">
        <v>0</v>
      </c>
      <c r="S44" s="32">
        <v>0</v>
      </c>
      <c r="T44" s="32">
        <v>76.018152000000001</v>
      </c>
      <c r="U44" s="32">
        <v>0</v>
      </c>
      <c r="V44" s="32">
        <v>0</v>
      </c>
      <c r="W44" s="32">
        <v>0</v>
      </c>
      <c r="X44" s="32">
        <v>0</v>
      </c>
      <c r="Y44" s="32">
        <v>0</v>
      </c>
      <c r="Z44" s="32">
        <v>0</v>
      </c>
      <c r="AA44" s="32">
        <v>0</v>
      </c>
      <c r="AB44" s="32">
        <v>0</v>
      </c>
      <c r="AC44" s="32">
        <v>0</v>
      </c>
      <c r="AD44" s="33">
        <f t="shared" si="27"/>
        <v>138.51815199999999</v>
      </c>
    </row>
    <row r="45" spans="1:48">
      <c r="A45" s="120" t="s">
        <v>1549</v>
      </c>
      <c r="B45" s="120">
        <f t="shared" ref="B45:AC45" si="28">SUM(B46:B53)</f>
        <v>0</v>
      </c>
      <c r="C45" s="133">
        <f t="shared" si="28"/>
        <v>0</v>
      </c>
      <c r="D45" s="133">
        <f t="shared" si="28"/>
        <v>0</v>
      </c>
      <c r="E45" s="133">
        <f t="shared" si="28"/>
        <v>908.24400000000003</v>
      </c>
      <c r="F45" s="133">
        <f t="shared" si="28"/>
        <v>0</v>
      </c>
      <c r="G45" s="133">
        <f t="shared" si="28"/>
        <v>0</v>
      </c>
      <c r="H45" s="133">
        <f t="shared" si="28"/>
        <v>1081.4839999999999</v>
      </c>
      <c r="I45" s="133">
        <f t="shared" si="28"/>
        <v>0</v>
      </c>
      <c r="J45" s="133">
        <f t="shared" si="28"/>
        <v>0</v>
      </c>
      <c r="K45" s="133">
        <f t="shared" si="28"/>
        <v>91.453000000000003</v>
      </c>
      <c r="L45" s="133">
        <f t="shared" si="28"/>
        <v>0</v>
      </c>
      <c r="M45" s="133">
        <f t="shared" si="28"/>
        <v>0</v>
      </c>
      <c r="N45" s="133">
        <f t="shared" si="28"/>
        <v>0</v>
      </c>
      <c r="O45" s="133">
        <f t="shared" si="28"/>
        <v>0</v>
      </c>
      <c r="P45" s="133">
        <f t="shared" si="28"/>
        <v>0</v>
      </c>
      <c r="Q45" s="133">
        <f t="shared" si="28"/>
        <v>790.923</v>
      </c>
      <c r="R45" s="133">
        <f t="shared" si="28"/>
        <v>507.80599999999998</v>
      </c>
      <c r="S45" s="133">
        <f t="shared" si="28"/>
        <v>0</v>
      </c>
      <c r="T45" s="133">
        <f t="shared" si="28"/>
        <v>3171.5910000000003</v>
      </c>
      <c r="U45" s="133">
        <f t="shared" si="28"/>
        <v>0</v>
      </c>
      <c r="V45" s="133">
        <f t="shared" si="28"/>
        <v>0</v>
      </c>
      <c r="W45" s="133">
        <f t="shared" si="28"/>
        <v>25955.155800999997</v>
      </c>
      <c r="X45" s="133">
        <f t="shared" si="28"/>
        <v>465.541</v>
      </c>
      <c r="Y45" s="133">
        <f t="shared" si="28"/>
        <v>0</v>
      </c>
      <c r="Z45" s="133">
        <f t="shared" si="28"/>
        <v>0</v>
      </c>
      <c r="AA45" s="133">
        <f t="shared" si="28"/>
        <v>0</v>
      </c>
      <c r="AB45" s="133">
        <f t="shared" si="28"/>
        <v>0</v>
      </c>
      <c r="AC45" s="133">
        <f t="shared" si="28"/>
        <v>2593.828</v>
      </c>
      <c r="AD45" s="158">
        <f>SUM(AD46:AD53)</f>
        <v>35566.025800999996</v>
      </c>
      <c r="AS45" s="22"/>
      <c r="AT45" s="22"/>
      <c r="AU45" s="22"/>
      <c r="AV45" s="94"/>
    </row>
    <row r="46" spans="1:48">
      <c r="A46" s="219" t="s">
        <v>1396</v>
      </c>
      <c r="B46" s="210">
        <v>0</v>
      </c>
      <c r="C46" s="211">
        <v>0</v>
      </c>
      <c r="D46" s="211">
        <v>0</v>
      </c>
      <c r="E46" s="211">
        <v>0</v>
      </c>
      <c r="F46" s="211">
        <v>0</v>
      </c>
      <c r="G46" s="211">
        <v>0</v>
      </c>
      <c r="H46" s="211">
        <v>0</v>
      </c>
      <c r="I46" s="211">
        <v>0</v>
      </c>
      <c r="J46" s="211">
        <v>0</v>
      </c>
      <c r="K46" s="211">
        <v>0</v>
      </c>
      <c r="L46" s="211">
        <v>0</v>
      </c>
      <c r="M46" s="211">
        <v>0</v>
      </c>
      <c r="N46" s="211">
        <v>0</v>
      </c>
      <c r="O46" s="211">
        <v>0</v>
      </c>
      <c r="P46" s="211">
        <v>0</v>
      </c>
      <c r="Q46" s="211">
        <v>0</v>
      </c>
      <c r="R46" s="211">
        <v>0</v>
      </c>
      <c r="S46" s="211">
        <v>0</v>
      </c>
      <c r="T46" s="211">
        <v>0</v>
      </c>
      <c r="U46" s="211">
        <v>0</v>
      </c>
      <c r="V46" s="211">
        <v>0</v>
      </c>
      <c r="W46" s="211">
        <v>432.64400000000001</v>
      </c>
      <c r="X46" s="211">
        <v>0</v>
      </c>
      <c r="Y46" s="211">
        <v>0</v>
      </c>
      <c r="Z46" s="211">
        <v>0</v>
      </c>
      <c r="AA46" s="211">
        <v>0</v>
      </c>
      <c r="AB46" s="211">
        <v>0</v>
      </c>
      <c r="AC46" s="211">
        <v>0</v>
      </c>
      <c r="AD46" s="33">
        <f t="shared" ref="AD46:AD53" si="29">SUM(B46:AC46)</f>
        <v>432.64400000000001</v>
      </c>
    </row>
    <row r="47" spans="1:48">
      <c r="A47" s="125" t="s">
        <v>558</v>
      </c>
      <c r="B47" s="90">
        <v>0</v>
      </c>
      <c r="C47" s="94">
        <v>0</v>
      </c>
      <c r="D47" s="94">
        <v>0</v>
      </c>
      <c r="E47" s="94">
        <v>0</v>
      </c>
      <c r="F47" s="94">
        <v>0</v>
      </c>
      <c r="G47" s="94">
        <v>0</v>
      </c>
      <c r="H47" s="94">
        <v>1081.4839999999999</v>
      </c>
      <c r="I47" s="94">
        <v>0</v>
      </c>
      <c r="J47" s="94">
        <v>0</v>
      </c>
      <c r="K47" s="94">
        <v>0</v>
      </c>
      <c r="L47" s="94">
        <v>0</v>
      </c>
      <c r="M47" s="94">
        <v>0</v>
      </c>
      <c r="N47" s="94">
        <v>0</v>
      </c>
      <c r="O47" s="94">
        <v>0</v>
      </c>
      <c r="P47" s="94">
        <v>0</v>
      </c>
      <c r="Q47" s="94">
        <v>0</v>
      </c>
      <c r="R47" s="94">
        <v>0</v>
      </c>
      <c r="S47" s="94">
        <v>0</v>
      </c>
      <c r="T47" s="94">
        <v>0</v>
      </c>
      <c r="U47" s="94">
        <v>0</v>
      </c>
      <c r="V47" s="94">
        <v>0</v>
      </c>
      <c r="W47" s="94">
        <v>14379.525508999999</v>
      </c>
      <c r="X47" s="94">
        <v>465.541</v>
      </c>
      <c r="Y47" s="94">
        <v>0</v>
      </c>
      <c r="Z47" s="94">
        <v>0</v>
      </c>
      <c r="AA47" s="94">
        <v>0</v>
      </c>
      <c r="AB47" s="94">
        <v>0</v>
      </c>
      <c r="AC47" s="94">
        <v>0</v>
      </c>
      <c r="AD47" s="33">
        <f t="shared" si="29"/>
        <v>15926.550508999999</v>
      </c>
    </row>
    <row r="48" spans="1:48">
      <c r="A48" s="219" t="s">
        <v>1598</v>
      </c>
      <c r="B48" s="90">
        <v>0</v>
      </c>
      <c r="C48" s="94">
        <v>0</v>
      </c>
      <c r="D48" s="94">
        <v>0</v>
      </c>
      <c r="E48" s="94">
        <v>0</v>
      </c>
      <c r="F48" s="94">
        <v>0</v>
      </c>
      <c r="G48" s="94">
        <v>0</v>
      </c>
      <c r="H48" s="94">
        <v>0</v>
      </c>
      <c r="I48" s="94">
        <v>0</v>
      </c>
      <c r="J48" s="94">
        <v>0</v>
      </c>
      <c r="K48" s="94">
        <v>0</v>
      </c>
      <c r="L48" s="94">
        <v>0</v>
      </c>
      <c r="M48" s="94">
        <v>0</v>
      </c>
      <c r="N48" s="94">
        <v>0</v>
      </c>
      <c r="O48" s="94">
        <v>0</v>
      </c>
      <c r="P48" s="94">
        <v>0</v>
      </c>
      <c r="Q48" s="94">
        <v>0</v>
      </c>
      <c r="R48" s="94">
        <v>0</v>
      </c>
      <c r="S48" s="94">
        <v>0</v>
      </c>
      <c r="T48" s="94">
        <v>0</v>
      </c>
      <c r="U48" s="94">
        <v>0</v>
      </c>
      <c r="V48" s="94">
        <v>0</v>
      </c>
      <c r="W48" s="94">
        <v>574.01099999999997</v>
      </c>
      <c r="X48" s="94">
        <v>0</v>
      </c>
      <c r="Y48" s="94">
        <v>0</v>
      </c>
      <c r="Z48" s="94">
        <v>0</v>
      </c>
      <c r="AA48" s="94">
        <v>0</v>
      </c>
      <c r="AB48" s="94">
        <v>0</v>
      </c>
      <c r="AC48" s="94">
        <v>0</v>
      </c>
      <c r="AD48" s="33">
        <f t="shared" si="29"/>
        <v>574.01099999999997</v>
      </c>
    </row>
    <row r="49" spans="1:30">
      <c r="A49" s="125" t="s">
        <v>1397</v>
      </c>
      <c r="B49" s="90">
        <v>0</v>
      </c>
      <c r="C49" s="94">
        <v>0</v>
      </c>
      <c r="D49" s="94">
        <v>0</v>
      </c>
      <c r="E49" s="94">
        <v>908.24400000000003</v>
      </c>
      <c r="F49" s="94">
        <v>0</v>
      </c>
      <c r="G49" s="94">
        <v>0</v>
      </c>
      <c r="H49" s="94">
        <v>0</v>
      </c>
      <c r="I49" s="94">
        <v>0</v>
      </c>
      <c r="J49" s="94">
        <v>0</v>
      </c>
      <c r="K49" s="94">
        <v>91.453000000000003</v>
      </c>
      <c r="L49" s="94">
        <v>0</v>
      </c>
      <c r="M49" s="94">
        <v>0</v>
      </c>
      <c r="N49" s="94">
        <v>0</v>
      </c>
      <c r="O49" s="94">
        <v>0</v>
      </c>
      <c r="P49" s="94">
        <v>0</v>
      </c>
      <c r="Q49" s="94">
        <v>0</v>
      </c>
      <c r="R49" s="94">
        <v>507.80599999999998</v>
      </c>
      <c r="S49" s="94">
        <v>0</v>
      </c>
      <c r="T49" s="94">
        <v>0</v>
      </c>
      <c r="U49" s="94">
        <v>0</v>
      </c>
      <c r="V49" s="94">
        <v>0</v>
      </c>
      <c r="W49" s="94">
        <v>8866.112000000001</v>
      </c>
      <c r="X49" s="94">
        <v>0</v>
      </c>
      <c r="Y49" s="94">
        <v>0</v>
      </c>
      <c r="Z49" s="94">
        <v>0</v>
      </c>
      <c r="AA49" s="94">
        <v>0</v>
      </c>
      <c r="AB49" s="94">
        <v>0</v>
      </c>
      <c r="AC49" s="94">
        <v>0</v>
      </c>
      <c r="AD49" s="33">
        <f t="shared" si="29"/>
        <v>10373.615000000002</v>
      </c>
    </row>
    <row r="50" spans="1:30">
      <c r="A50" s="219" t="s">
        <v>1398</v>
      </c>
      <c r="B50" s="90">
        <v>0</v>
      </c>
      <c r="C50" s="94">
        <v>0</v>
      </c>
      <c r="D50" s="94">
        <v>0</v>
      </c>
      <c r="E50" s="94">
        <v>0</v>
      </c>
      <c r="F50" s="94">
        <v>0</v>
      </c>
      <c r="G50" s="94">
        <v>0</v>
      </c>
      <c r="H50" s="94">
        <v>0</v>
      </c>
      <c r="I50" s="94">
        <v>0</v>
      </c>
      <c r="J50" s="94">
        <v>0</v>
      </c>
      <c r="K50" s="94">
        <v>0</v>
      </c>
      <c r="L50" s="94">
        <v>0</v>
      </c>
      <c r="M50" s="94">
        <v>0</v>
      </c>
      <c r="N50" s="94">
        <v>0</v>
      </c>
      <c r="O50" s="94">
        <v>0</v>
      </c>
      <c r="P50" s="94">
        <v>0</v>
      </c>
      <c r="Q50" s="94">
        <v>0</v>
      </c>
      <c r="R50" s="94">
        <v>0</v>
      </c>
      <c r="S50" s="94">
        <v>0</v>
      </c>
      <c r="T50" s="94">
        <v>2795.1450000000004</v>
      </c>
      <c r="U50" s="94">
        <v>0</v>
      </c>
      <c r="V50" s="94">
        <v>0</v>
      </c>
      <c r="W50" s="94">
        <v>0</v>
      </c>
      <c r="X50" s="94">
        <v>0</v>
      </c>
      <c r="Y50" s="94">
        <v>0</v>
      </c>
      <c r="Z50" s="94">
        <v>0</v>
      </c>
      <c r="AA50" s="94">
        <v>0</v>
      </c>
      <c r="AB50" s="94">
        <v>0</v>
      </c>
      <c r="AC50" s="94">
        <v>0</v>
      </c>
      <c r="AD50" s="33">
        <f t="shared" si="29"/>
        <v>2795.1450000000004</v>
      </c>
    </row>
    <row r="51" spans="1:30">
      <c r="A51" s="219" t="s">
        <v>749</v>
      </c>
      <c r="B51" s="90">
        <v>0</v>
      </c>
      <c r="C51" s="94">
        <v>0</v>
      </c>
      <c r="D51" s="94">
        <v>0</v>
      </c>
      <c r="E51" s="94">
        <v>0</v>
      </c>
      <c r="F51" s="94">
        <v>0</v>
      </c>
      <c r="G51" s="94">
        <v>0</v>
      </c>
      <c r="H51" s="94">
        <v>0</v>
      </c>
      <c r="I51" s="94">
        <v>0</v>
      </c>
      <c r="J51" s="94">
        <v>0</v>
      </c>
      <c r="K51" s="94">
        <v>0</v>
      </c>
      <c r="L51" s="94">
        <v>0</v>
      </c>
      <c r="M51" s="94">
        <v>0</v>
      </c>
      <c r="N51" s="94">
        <v>0</v>
      </c>
      <c r="O51" s="94">
        <v>0</v>
      </c>
      <c r="P51" s="94">
        <v>0</v>
      </c>
      <c r="Q51" s="94">
        <v>0</v>
      </c>
      <c r="R51" s="94">
        <v>0</v>
      </c>
      <c r="S51" s="94">
        <v>0</v>
      </c>
      <c r="T51" s="94">
        <v>0</v>
      </c>
      <c r="U51" s="94">
        <v>0</v>
      </c>
      <c r="V51" s="94">
        <v>0</v>
      </c>
      <c r="W51" s="94">
        <v>597.923</v>
      </c>
      <c r="X51" s="94">
        <v>0</v>
      </c>
      <c r="Y51" s="94">
        <v>0</v>
      </c>
      <c r="Z51" s="94">
        <v>0</v>
      </c>
      <c r="AA51" s="94">
        <v>0</v>
      </c>
      <c r="AB51" s="94">
        <v>0</v>
      </c>
      <c r="AC51" s="94">
        <v>0</v>
      </c>
      <c r="AD51" s="33">
        <f t="shared" si="29"/>
        <v>597.923</v>
      </c>
    </row>
    <row r="52" spans="1:30">
      <c r="A52" s="125" t="s">
        <v>978</v>
      </c>
      <c r="B52" s="90">
        <v>0</v>
      </c>
      <c r="C52" s="94">
        <v>0</v>
      </c>
      <c r="D52" s="94">
        <v>0</v>
      </c>
      <c r="E52" s="94">
        <v>0</v>
      </c>
      <c r="F52" s="94">
        <v>0</v>
      </c>
      <c r="G52" s="94">
        <v>0</v>
      </c>
      <c r="H52" s="94">
        <v>0</v>
      </c>
      <c r="I52" s="94">
        <v>0</v>
      </c>
      <c r="J52" s="94">
        <v>0</v>
      </c>
      <c r="K52" s="94">
        <v>0</v>
      </c>
      <c r="L52" s="94">
        <v>0</v>
      </c>
      <c r="M52" s="94">
        <v>0</v>
      </c>
      <c r="N52" s="94">
        <v>0</v>
      </c>
      <c r="O52" s="94">
        <v>0</v>
      </c>
      <c r="P52" s="94">
        <v>0</v>
      </c>
      <c r="Q52" s="94">
        <v>0</v>
      </c>
      <c r="R52" s="94">
        <v>0</v>
      </c>
      <c r="S52" s="94">
        <v>0</v>
      </c>
      <c r="T52" s="94">
        <v>0</v>
      </c>
      <c r="U52" s="94">
        <v>0</v>
      </c>
      <c r="V52" s="94">
        <v>0</v>
      </c>
      <c r="W52" s="94">
        <v>1104.940292</v>
      </c>
      <c r="X52" s="94">
        <v>0</v>
      </c>
      <c r="Y52" s="94">
        <v>0</v>
      </c>
      <c r="Z52" s="94">
        <v>0</v>
      </c>
      <c r="AA52" s="94">
        <v>0</v>
      </c>
      <c r="AB52" s="94">
        <v>0</v>
      </c>
      <c r="AC52" s="94">
        <v>0</v>
      </c>
      <c r="AD52" s="33">
        <f t="shared" si="29"/>
        <v>1104.940292</v>
      </c>
    </row>
    <row r="53" spans="1:30">
      <c r="A53" s="128" t="s">
        <v>1063</v>
      </c>
      <c r="B53" s="210">
        <v>0</v>
      </c>
      <c r="C53" s="211">
        <v>0</v>
      </c>
      <c r="D53" s="211">
        <v>0</v>
      </c>
      <c r="E53" s="211">
        <v>0</v>
      </c>
      <c r="F53" s="211">
        <v>0</v>
      </c>
      <c r="G53" s="211">
        <v>0</v>
      </c>
      <c r="H53" s="211">
        <v>0</v>
      </c>
      <c r="I53" s="211">
        <v>0</v>
      </c>
      <c r="J53" s="211">
        <v>0</v>
      </c>
      <c r="K53" s="211">
        <v>0</v>
      </c>
      <c r="L53" s="211">
        <v>0</v>
      </c>
      <c r="M53" s="211">
        <v>0</v>
      </c>
      <c r="N53" s="211">
        <v>0</v>
      </c>
      <c r="O53" s="211">
        <v>0</v>
      </c>
      <c r="P53" s="211">
        <v>0</v>
      </c>
      <c r="Q53" s="211">
        <v>790.923</v>
      </c>
      <c r="R53" s="211">
        <v>0</v>
      </c>
      <c r="S53" s="211">
        <v>0</v>
      </c>
      <c r="T53" s="211">
        <v>376.44599999999997</v>
      </c>
      <c r="U53" s="211">
        <v>0</v>
      </c>
      <c r="V53" s="211">
        <v>0</v>
      </c>
      <c r="W53" s="211">
        <v>0</v>
      </c>
      <c r="X53" s="211">
        <v>0</v>
      </c>
      <c r="Y53" s="211">
        <v>0</v>
      </c>
      <c r="Z53" s="211">
        <v>0</v>
      </c>
      <c r="AA53" s="211">
        <v>0</v>
      </c>
      <c r="AB53" s="211">
        <v>0</v>
      </c>
      <c r="AC53" s="211">
        <v>2593.828</v>
      </c>
      <c r="AD53" s="33">
        <f t="shared" si="29"/>
        <v>3761.1970000000001</v>
      </c>
    </row>
    <row r="54" spans="1:30">
      <c r="A54" s="140" t="s">
        <v>626</v>
      </c>
      <c r="B54" s="159">
        <f t="shared" ref="B54:AC54" si="30">+B32+B35+B45</f>
        <v>2178.94</v>
      </c>
      <c r="C54" s="160">
        <f t="shared" si="30"/>
        <v>28224.647400000002</v>
      </c>
      <c r="D54" s="160">
        <f t="shared" si="30"/>
        <v>560.56899999999996</v>
      </c>
      <c r="E54" s="160">
        <f t="shared" si="30"/>
        <v>15746.699999999999</v>
      </c>
      <c r="F54" s="160">
        <f t="shared" si="30"/>
        <v>6093.9290000000001</v>
      </c>
      <c r="G54" s="160">
        <f t="shared" si="30"/>
        <v>1070.9079999999999</v>
      </c>
      <c r="H54" s="160">
        <f t="shared" si="30"/>
        <v>49726.754094999997</v>
      </c>
      <c r="I54" s="160">
        <f t="shared" si="30"/>
        <v>83691.231398999997</v>
      </c>
      <c r="J54" s="160">
        <f t="shared" si="30"/>
        <v>3492.6400000000003</v>
      </c>
      <c r="K54" s="160">
        <f t="shared" si="30"/>
        <v>199703.31153800004</v>
      </c>
      <c r="L54" s="160">
        <f t="shared" si="30"/>
        <v>11116.971</v>
      </c>
      <c r="M54" s="160">
        <f t="shared" si="30"/>
        <v>9336.5014239999982</v>
      </c>
      <c r="N54" s="160">
        <f t="shared" si="30"/>
        <v>43095.929286999999</v>
      </c>
      <c r="O54" s="160">
        <f t="shared" si="30"/>
        <v>41289.672584</v>
      </c>
      <c r="P54" s="160">
        <f t="shared" si="30"/>
        <v>628504.22662999982</v>
      </c>
      <c r="Q54" s="160">
        <f t="shared" si="30"/>
        <v>1799.184</v>
      </c>
      <c r="R54" s="160">
        <f t="shared" si="30"/>
        <v>42589.689999999988</v>
      </c>
      <c r="S54" s="160">
        <f t="shared" si="30"/>
        <v>14158.977845739999</v>
      </c>
      <c r="T54" s="160">
        <f t="shared" si="30"/>
        <v>20165.967961000002</v>
      </c>
      <c r="U54" s="160">
        <f t="shared" si="30"/>
        <v>3446.1101999999992</v>
      </c>
      <c r="V54" s="160">
        <f t="shared" si="30"/>
        <v>0</v>
      </c>
      <c r="W54" s="160">
        <f t="shared" si="30"/>
        <v>103999.45670749999</v>
      </c>
      <c r="X54" s="160">
        <f t="shared" si="30"/>
        <v>31649.423999999995</v>
      </c>
      <c r="Y54" s="160">
        <f t="shared" si="30"/>
        <v>0</v>
      </c>
      <c r="Z54" s="160">
        <f t="shared" si="30"/>
        <v>38.067975000000004</v>
      </c>
      <c r="AA54" s="160">
        <f t="shared" si="30"/>
        <v>0</v>
      </c>
      <c r="AB54" s="160">
        <f t="shared" si="30"/>
        <v>9223.634</v>
      </c>
      <c r="AC54" s="160">
        <f t="shared" si="30"/>
        <v>14020.908680999999</v>
      </c>
      <c r="AD54" s="209">
        <f>+AD32+AD35+AD45</f>
        <v>1364924.3527272397</v>
      </c>
    </row>
  </sheetData>
  <mergeCells count="3">
    <mergeCell ref="AS5:AU5"/>
    <mergeCell ref="AY5:BA5"/>
    <mergeCell ref="AT20:AU20"/>
  </mergeCells>
  <phoneticPr fontId="10" type="noConversion"/>
  <pageMargins left="0.75" right="0.75" top="1" bottom="1" header="0.5" footer="0.5"/>
  <pageSetup paperSize="9" scale="25" orientation="landscape" r:id="rId1"/>
  <headerFooter alignWithMargins="0"/>
  <ignoredErrors>
    <ignoredError sqref="AS11:AU11 AD35 AP8:AP27 AD45 AD8:AD18" formula="1"/>
  </ignoredError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P83"/>
  <sheetViews>
    <sheetView showZeros="0" zoomScale="75" workbookViewId="0">
      <pane xSplit="1" ySplit="4" topLeftCell="B5" activePane="bottomRight" state="frozen"/>
      <selection activeCell="I36" sqref="I36"/>
      <selection pane="topRight" activeCell="I36" sqref="I36"/>
      <selection pane="bottomLeft" activeCell="I36" sqref="I36"/>
      <selection pane="bottomRight" activeCell="F27" sqref="F27"/>
    </sheetView>
  </sheetViews>
  <sheetFormatPr defaultRowHeight="12.75"/>
  <cols>
    <col min="1" max="1" width="4.140625" style="561" customWidth="1"/>
    <col min="2" max="2" width="14.5703125" style="561" customWidth="1"/>
    <col min="3" max="3" width="31.5703125" style="561" customWidth="1"/>
    <col min="4" max="4" width="11.28515625" style="561" customWidth="1"/>
    <col min="5" max="5" width="12.140625" style="561" customWidth="1"/>
    <col min="6" max="6" width="17.7109375" style="561" customWidth="1"/>
    <col min="7" max="7" width="9.85546875" style="561" customWidth="1"/>
    <col min="8" max="8" width="13.28515625" style="561" customWidth="1"/>
    <col min="9" max="9" width="11" style="561" customWidth="1"/>
    <col min="10" max="10" width="15.85546875" style="561" customWidth="1"/>
    <col min="11" max="11" width="14" style="561" customWidth="1"/>
    <col min="12" max="13" width="13.5703125" style="561" customWidth="1"/>
    <col min="14" max="14" width="4.28515625" style="561" customWidth="1"/>
    <col min="15" max="15" width="74.5703125" style="561" customWidth="1"/>
    <col min="16" max="16" width="68.42578125" style="561" customWidth="1"/>
    <col min="17" max="16384" width="9.140625" style="561"/>
  </cols>
  <sheetData>
    <row r="1" spans="1:16">
      <c r="D1" s="562" t="s">
        <v>1229</v>
      </c>
      <c r="E1" s="562"/>
      <c r="F1" s="562"/>
      <c r="G1" s="562"/>
      <c r="H1" s="562"/>
      <c r="I1" s="563"/>
      <c r="J1" s="563"/>
      <c r="K1" s="563"/>
      <c r="L1" s="563"/>
      <c r="M1" s="563"/>
    </row>
    <row r="3" spans="1:16">
      <c r="A3" s="561" t="s">
        <v>383</v>
      </c>
      <c r="D3" s="564"/>
      <c r="E3" s="1126" t="s">
        <v>295</v>
      </c>
      <c r="F3" s="1127"/>
      <c r="G3" s="1127"/>
      <c r="H3" s="1128"/>
      <c r="I3" s="1127" t="s">
        <v>294</v>
      </c>
      <c r="J3" s="1127"/>
      <c r="K3" s="1127"/>
      <c r="L3" s="1129"/>
      <c r="M3" s="564"/>
      <c r="N3" s="561" t="s">
        <v>856</v>
      </c>
    </row>
    <row r="4" spans="1:16">
      <c r="A4" s="565" t="s">
        <v>710</v>
      </c>
      <c r="B4" s="565" t="s">
        <v>327</v>
      </c>
      <c r="C4" s="565" t="s">
        <v>709</v>
      </c>
      <c r="D4" s="565" t="s">
        <v>849</v>
      </c>
      <c r="E4" s="566" t="s">
        <v>1062</v>
      </c>
      <c r="F4" s="567" t="s">
        <v>1466</v>
      </c>
      <c r="G4" s="567" t="s">
        <v>1303</v>
      </c>
      <c r="H4" s="568" t="s">
        <v>838</v>
      </c>
      <c r="I4" s="569" t="s">
        <v>1062</v>
      </c>
      <c r="J4" s="570" t="s">
        <v>1466</v>
      </c>
      <c r="K4" s="570" t="s">
        <v>1304</v>
      </c>
      <c r="L4" s="571" t="s">
        <v>838</v>
      </c>
      <c r="M4" s="572"/>
      <c r="N4" s="573" t="s">
        <v>710</v>
      </c>
      <c r="O4" s="573" t="s">
        <v>907</v>
      </c>
      <c r="P4" s="574" t="s">
        <v>1056</v>
      </c>
    </row>
    <row r="5" spans="1:16">
      <c r="A5" s="575">
        <v>1</v>
      </c>
      <c r="B5" s="576" t="s">
        <v>1733</v>
      </c>
      <c r="C5" s="577" t="s">
        <v>315</v>
      </c>
      <c r="D5" s="578" t="s">
        <v>1376</v>
      </c>
      <c r="E5" s="577" t="s">
        <v>1738</v>
      </c>
      <c r="F5" s="609" t="s">
        <v>3354</v>
      </c>
      <c r="G5" s="579"/>
      <c r="H5" s="580"/>
      <c r="I5" s="608" t="s">
        <v>875</v>
      </c>
      <c r="J5" s="609" t="s">
        <v>3354</v>
      </c>
      <c r="K5" s="581"/>
      <c r="L5" s="582"/>
      <c r="M5" s="583"/>
      <c r="N5" s="584">
        <v>1</v>
      </c>
      <c r="O5" s="585" t="s">
        <v>865</v>
      </c>
      <c r="P5" s="565" t="s">
        <v>869</v>
      </c>
    </row>
    <row r="6" spans="1:16" ht="28.5" customHeight="1">
      <c r="A6" s="586">
        <v>2</v>
      </c>
      <c r="B6" s="587" t="s">
        <v>615</v>
      </c>
      <c r="C6" s="588" t="s">
        <v>685</v>
      </c>
      <c r="D6" s="589" t="s">
        <v>1376</v>
      </c>
      <c r="E6" s="588" t="s">
        <v>1738</v>
      </c>
      <c r="F6" s="590" t="s">
        <v>3239</v>
      </c>
      <c r="G6" s="591"/>
      <c r="H6" s="592"/>
      <c r="I6" s="608" t="s">
        <v>875</v>
      </c>
      <c r="J6" s="609" t="s">
        <v>2942</v>
      </c>
      <c r="K6" s="595"/>
      <c r="L6" s="596"/>
      <c r="M6" s="583"/>
      <c r="N6" s="597">
        <v>2</v>
      </c>
      <c r="O6" s="598" t="s">
        <v>1467</v>
      </c>
      <c r="P6" s="599" t="s">
        <v>361</v>
      </c>
    </row>
    <row r="7" spans="1:16" ht="12.75" customHeight="1">
      <c r="A7" s="586">
        <v>3</v>
      </c>
      <c r="B7" s="587" t="s">
        <v>1731</v>
      </c>
      <c r="C7" s="600" t="s">
        <v>2441</v>
      </c>
      <c r="D7" s="589" t="s">
        <v>1320</v>
      </c>
      <c r="E7" s="588" t="s">
        <v>1738</v>
      </c>
      <c r="F7" s="590" t="s">
        <v>852</v>
      </c>
      <c r="G7" s="591"/>
      <c r="H7" s="592"/>
      <c r="I7" s="608" t="s">
        <v>875</v>
      </c>
      <c r="J7" s="609" t="s">
        <v>852</v>
      </c>
      <c r="K7" s="595"/>
      <c r="L7" s="596"/>
      <c r="M7" s="583"/>
      <c r="N7" s="597">
        <v>3</v>
      </c>
      <c r="O7" s="598" t="s">
        <v>362</v>
      </c>
      <c r="P7" s="599" t="s">
        <v>372</v>
      </c>
    </row>
    <row r="8" spans="1:16" ht="27" customHeight="1">
      <c r="A8" s="601">
        <v>4</v>
      </c>
      <c r="B8" s="602" t="s">
        <v>1379</v>
      </c>
      <c r="C8" s="603" t="s">
        <v>316</v>
      </c>
      <c r="D8" s="604" t="s">
        <v>1376</v>
      </c>
      <c r="E8" s="603" t="s">
        <v>1593</v>
      </c>
      <c r="F8" s="605"/>
      <c r="G8" s="606"/>
      <c r="H8" s="607"/>
      <c r="I8" s="737"/>
      <c r="J8" s="738"/>
      <c r="K8" s="610"/>
      <c r="L8" s="596"/>
      <c r="M8" s="583"/>
      <c r="N8" s="597">
        <v>4</v>
      </c>
      <c r="O8" s="598" t="s">
        <v>373</v>
      </c>
      <c r="P8" s="599" t="s">
        <v>1526</v>
      </c>
    </row>
    <row r="9" spans="1:16" ht="25.5">
      <c r="A9" s="586">
        <v>5</v>
      </c>
      <c r="B9" s="587" t="s">
        <v>1732</v>
      </c>
      <c r="C9" s="588" t="s">
        <v>317</v>
      </c>
      <c r="D9" s="589" t="s">
        <v>558</v>
      </c>
      <c r="E9" s="588" t="s">
        <v>1738</v>
      </c>
      <c r="F9" s="590" t="s">
        <v>852</v>
      </c>
      <c r="G9" s="591"/>
      <c r="H9" s="592"/>
      <c r="I9" s="608" t="s">
        <v>875</v>
      </c>
      <c r="J9" s="609" t="s">
        <v>852</v>
      </c>
      <c r="K9" s="610"/>
      <c r="L9" s="596"/>
      <c r="M9" s="583"/>
      <c r="N9" s="597">
        <v>5</v>
      </c>
      <c r="O9" s="598" t="s">
        <v>1527</v>
      </c>
      <c r="P9" s="599" t="s">
        <v>1528</v>
      </c>
    </row>
    <row r="10" spans="1:16" ht="25.5">
      <c r="A10" s="586">
        <v>6</v>
      </c>
      <c r="B10" s="611" t="s">
        <v>41</v>
      </c>
      <c r="C10" s="588" t="s">
        <v>42</v>
      </c>
      <c r="D10" s="589" t="s">
        <v>1376</v>
      </c>
      <c r="E10" s="588" t="s">
        <v>1738</v>
      </c>
      <c r="F10" s="590" t="s">
        <v>2442</v>
      </c>
      <c r="G10" s="591"/>
      <c r="H10" s="612"/>
      <c r="I10" s="603" t="s">
        <v>1593</v>
      </c>
      <c r="J10" s="605"/>
      <c r="K10" s="613"/>
      <c r="L10" s="591"/>
      <c r="M10" s="614"/>
      <c r="N10" s="597">
        <v>6</v>
      </c>
      <c r="O10" s="598" t="s">
        <v>1529</v>
      </c>
      <c r="P10" s="615"/>
    </row>
    <row r="11" spans="1:16">
      <c r="A11" s="586">
        <v>7</v>
      </c>
      <c r="B11" s="587" t="s">
        <v>641</v>
      </c>
      <c r="C11" s="588" t="s">
        <v>754</v>
      </c>
      <c r="D11" s="589" t="s">
        <v>1376</v>
      </c>
      <c r="E11" s="588" t="s">
        <v>1738</v>
      </c>
      <c r="F11" s="616" t="s">
        <v>2939</v>
      </c>
      <c r="G11" s="591"/>
      <c r="H11" s="612"/>
      <c r="I11" s="603" t="s">
        <v>1593</v>
      </c>
      <c r="J11" s="605"/>
      <c r="K11" s="613"/>
      <c r="L11" s="591"/>
      <c r="M11" s="614"/>
      <c r="N11" s="597">
        <v>7</v>
      </c>
      <c r="O11" s="598" t="s">
        <v>1483</v>
      </c>
      <c r="P11" s="599" t="s">
        <v>1339</v>
      </c>
    </row>
    <row r="12" spans="1:16" ht="25.5">
      <c r="A12" s="594">
        <v>8</v>
      </c>
      <c r="B12" s="617" t="s">
        <v>34</v>
      </c>
      <c r="C12" s="618" t="s">
        <v>18</v>
      </c>
      <c r="D12" s="619" t="s">
        <v>1376</v>
      </c>
      <c r="E12" s="618" t="s">
        <v>1496</v>
      </c>
      <c r="F12" s="620"/>
      <c r="G12" s="591" t="s">
        <v>374</v>
      </c>
      <c r="H12" s="621"/>
      <c r="I12" s="622"/>
      <c r="J12" s="623"/>
      <c r="K12" s="594"/>
      <c r="L12" s="596"/>
      <c r="M12" s="624"/>
      <c r="N12" s="597">
        <v>8</v>
      </c>
      <c r="O12" s="598" t="s">
        <v>1340</v>
      </c>
      <c r="P12" s="599" t="s">
        <v>1341</v>
      </c>
    </row>
    <row r="13" spans="1:16">
      <c r="A13" s="586">
        <v>9</v>
      </c>
      <c r="B13" s="587" t="s">
        <v>728</v>
      </c>
      <c r="C13" s="588" t="s">
        <v>729</v>
      </c>
      <c r="D13" s="589" t="s">
        <v>1320</v>
      </c>
      <c r="E13" s="588" t="s">
        <v>1738</v>
      </c>
      <c r="F13" s="590" t="s">
        <v>852</v>
      </c>
      <c r="G13" s="591"/>
      <c r="H13" s="592"/>
      <c r="I13" s="625" t="s">
        <v>875</v>
      </c>
      <c r="J13" s="609" t="s">
        <v>852</v>
      </c>
      <c r="K13" s="596"/>
      <c r="L13" s="596"/>
      <c r="M13" s="583"/>
      <c r="N13" s="597">
        <v>9</v>
      </c>
      <c r="O13" s="598" t="s">
        <v>1342</v>
      </c>
      <c r="P13" s="599" t="s">
        <v>753</v>
      </c>
    </row>
    <row r="14" spans="1:16" ht="25.5">
      <c r="A14" s="586">
        <v>10</v>
      </c>
      <c r="B14" s="587" t="s">
        <v>1486</v>
      </c>
      <c r="C14" s="588" t="s">
        <v>318</v>
      </c>
      <c r="D14" s="589" t="s">
        <v>1320</v>
      </c>
      <c r="E14" s="588" t="s">
        <v>1738</v>
      </c>
      <c r="F14" s="590" t="s">
        <v>3645</v>
      </c>
      <c r="G14" s="591"/>
      <c r="H14" s="592"/>
      <c r="I14" s="739"/>
      <c r="J14" s="699"/>
      <c r="K14" s="596"/>
      <c r="L14" s="596"/>
      <c r="M14" s="583"/>
      <c r="N14" s="597">
        <v>10</v>
      </c>
      <c r="O14" s="598" t="s">
        <v>1343</v>
      </c>
      <c r="P14" s="599" t="s">
        <v>1230</v>
      </c>
    </row>
    <row r="15" spans="1:16" ht="25.5">
      <c r="A15" s="586">
        <v>11</v>
      </c>
      <c r="B15" s="587" t="s">
        <v>1484</v>
      </c>
      <c r="C15" s="588" t="s">
        <v>1378</v>
      </c>
      <c r="D15" s="589" t="s">
        <v>730</v>
      </c>
      <c r="E15" s="588" t="s">
        <v>1738</v>
      </c>
      <c r="F15" s="590" t="s">
        <v>852</v>
      </c>
      <c r="G15" s="596"/>
      <c r="H15" s="621"/>
      <c r="I15" s="593"/>
      <c r="J15" s="594"/>
      <c r="K15" s="594"/>
      <c r="L15" s="596"/>
      <c r="M15" s="624"/>
      <c r="N15" s="597">
        <v>11</v>
      </c>
      <c r="O15" s="598" t="s">
        <v>1344</v>
      </c>
      <c r="P15" s="599" t="s">
        <v>1345</v>
      </c>
    </row>
    <row r="16" spans="1:16" ht="25.5">
      <c r="A16" s="601">
        <v>12</v>
      </c>
      <c r="B16" s="602"/>
      <c r="C16" s="603" t="s">
        <v>562</v>
      </c>
      <c r="D16" s="604" t="s">
        <v>731</v>
      </c>
      <c r="E16" s="603" t="s">
        <v>1593</v>
      </c>
      <c r="F16" s="605"/>
      <c r="G16" s="606"/>
      <c r="H16" s="607"/>
      <c r="I16" s="626"/>
      <c r="J16" s="601"/>
      <c r="K16" s="601"/>
      <c r="L16" s="606"/>
      <c r="M16" s="583"/>
      <c r="N16" s="597">
        <v>12</v>
      </c>
      <c r="O16" s="598" t="s">
        <v>1346</v>
      </c>
      <c r="P16" s="615"/>
    </row>
    <row r="17" spans="1:16" ht="25.5">
      <c r="A17" s="586">
        <v>13</v>
      </c>
      <c r="B17" s="587" t="s">
        <v>896</v>
      </c>
      <c r="C17" s="588" t="s">
        <v>716</v>
      </c>
      <c r="D17" s="589" t="s">
        <v>558</v>
      </c>
      <c r="E17" s="588" t="s">
        <v>1738</v>
      </c>
      <c r="F17" s="590" t="s">
        <v>852</v>
      </c>
      <c r="G17" s="596"/>
      <c r="H17" s="592"/>
      <c r="I17" s="625" t="s">
        <v>875</v>
      </c>
      <c r="J17" s="616" t="s">
        <v>852</v>
      </c>
      <c r="K17" s="595"/>
      <c r="L17" s="596"/>
      <c r="M17" s="583"/>
      <c r="N17" s="597">
        <v>13</v>
      </c>
      <c r="O17" s="598" t="s">
        <v>1347</v>
      </c>
      <c r="P17" s="599" t="s">
        <v>1348</v>
      </c>
    </row>
    <row r="18" spans="1:16" ht="25.5">
      <c r="A18" s="636">
        <v>14</v>
      </c>
      <c r="B18" s="899" t="s">
        <v>700</v>
      </c>
      <c r="C18" s="697" t="s">
        <v>1893</v>
      </c>
      <c r="D18" s="700" t="s">
        <v>731</v>
      </c>
      <c r="E18" s="697" t="s">
        <v>3646</v>
      </c>
      <c r="F18" s="699"/>
      <c r="G18" s="633"/>
      <c r="H18" s="900" t="s">
        <v>1894</v>
      </c>
      <c r="I18" s="625" t="s">
        <v>875</v>
      </c>
      <c r="J18" s="616" t="s">
        <v>2943</v>
      </c>
      <c r="K18" s="637"/>
      <c r="L18" s="633"/>
      <c r="M18" s="638"/>
      <c r="N18" s="639">
        <v>14</v>
      </c>
      <c r="O18" s="640" t="s">
        <v>1349</v>
      </c>
      <c r="P18" s="599" t="s">
        <v>1350</v>
      </c>
    </row>
    <row r="19" spans="1:16">
      <c r="A19" s="601">
        <v>15</v>
      </c>
      <c r="B19" s="602" t="s">
        <v>377</v>
      </c>
      <c r="C19" s="603" t="s">
        <v>636</v>
      </c>
      <c r="D19" s="604" t="s">
        <v>1320</v>
      </c>
      <c r="E19" s="603" t="s">
        <v>1593</v>
      </c>
      <c r="F19" s="605"/>
      <c r="G19" s="606"/>
      <c r="H19" s="607"/>
      <c r="I19" s="626"/>
      <c r="J19" s="601"/>
      <c r="K19" s="601"/>
      <c r="L19" s="606"/>
      <c r="M19" s="583"/>
      <c r="N19" s="641">
        <v>15</v>
      </c>
      <c r="O19" s="642" t="s">
        <v>1059</v>
      </c>
      <c r="P19" s="643" t="s">
        <v>1059</v>
      </c>
    </row>
    <row r="20" spans="1:16" ht="25.5">
      <c r="A20" s="586">
        <v>16</v>
      </c>
      <c r="B20" s="587" t="s">
        <v>489</v>
      </c>
      <c r="C20" s="588" t="s">
        <v>378</v>
      </c>
      <c r="D20" s="589" t="s">
        <v>1320</v>
      </c>
      <c r="E20" s="588" t="s">
        <v>1738</v>
      </c>
      <c r="F20" s="590" t="s">
        <v>1016</v>
      </c>
      <c r="G20" s="596"/>
      <c r="H20" s="592" t="s">
        <v>1017</v>
      </c>
      <c r="I20" s="593"/>
      <c r="J20" s="594"/>
      <c r="K20" s="594"/>
      <c r="L20" s="596"/>
      <c r="M20" s="583"/>
    </row>
    <row r="21" spans="1:16">
      <c r="A21" s="594">
        <v>17</v>
      </c>
      <c r="B21" s="617" t="s">
        <v>1382</v>
      </c>
      <c r="C21" s="644" t="s">
        <v>17</v>
      </c>
      <c r="D21" s="624" t="s">
        <v>1327</v>
      </c>
      <c r="E21" s="644"/>
      <c r="F21" s="645"/>
      <c r="G21" s="596"/>
      <c r="H21" s="634" t="s">
        <v>375</v>
      </c>
      <c r="I21" s="593"/>
      <c r="J21" s="594"/>
      <c r="K21" s="594"/>
      <c r="L21" s="596"/>
      <c r="M21" s="583"/>
      <c r="O21" s="561" t="s">
        <v>1351</v>
      </c>
    </row>
    <row r="22" spans="1:16" ht="15.75" customHeight="1">
      <c r="A22" s="601">
        <v>18</v>
      </c>
      <c r="B22" s="602" t="s">
        <v>1383</v>
      </c>
      <c r="C22" s="603" t="s">
        <v>379</v>
      </c>
      <c r="D22" s="604" t="s">
        <v>1320</v>
      </c>
      <c r="E22" s="603" t="s">
        <v>1593</v>
      </c>
      <c r="F22" s="605" t="s">
        <v>1025</v>
      </c>
      <c r="G22" s="606"/>
      <c r="H22" s="607"/>
      <c r="I22" s="626"/>
      <c r="J22" s="601"/>
      <c r="K22" s="601"/>
      <c r="L22" s="606"/>
      <c r="M22" s="583"/>
      <c r="O22" s="561" t="s">
        <v>1055</v>
      </c>
    </row>
    <row r="23" spans="1:16" s="654" customFormat="1">
      <c r="A23" s="646">
        <v>19</v>
      </c>
      <c r="B23" s="647" t="s">
        <v>843</v>
      </c>
      <c r="C23" s="648" t="s">
        <v>266</v>
      </c>
      <c r="D23" s="649" t="s">
        <v>267</v>
      </c>
      <c r="E23" s="603" t="s">
        <v>1593</v>
      </c>
      <c r="F23" s="650"/>
      <c r="G23" s="651"/>
      <c r="H23" s="652"/>
      <c r="I23" s="653"/>
      <c r="J23" s="646"/>
      <c r="K23" s="646"/>
      <c r="L23" s="651"/>
      <c r="M23" s="583"/>
    </row>
    <row r="24" spans="1:16" ht="25.5">
      <c r="A24" s="627">
        <v>20</v>
      </c>
      <c r="B24" s="628" t="s">
        <v>1384</v>
      </c>
      <c r="C24" s="631" t="s">
        <v>380</v>
      </c>
      <c r="D24" s="630" t="s">
        <v>267</v>
      </c>
      <c r="E24" s="588" t="s">
        <v>1738</v>
      </c>
      <c r="F24" s="632" t="s">
        <v>3647</v>
      </c>
      <c r="H24" s="634"/>
      <c r="I24" s="593"/>
      <c r="J24" s="594"/>
      <c r="K24" s="594"/>
      <c r="L24" s="596"/>
      <c r="M24" s="583"/>
    </row>
    <row r="25" spans="1:16" ht="27" customHeight="1">
      <c r="A25" s="586">
        <v>21</v>
      </c>
      <c r="B25" s="587" t="s">
        <v>1550</v>
      </c>
      <c r="C25" s="588" t="s">
        <v>832</v>
      </c>
      <c r="D25" s="589" t="s">
        <v>749</v>
      </c>
      <c r="E25" s="588" t="s">
        <v>1738</v>
      </c>
      <c r="F25" s="590" t="s">
        <v>852</v>
      </c>
      <c r="G25" s="596"/>
      <c r="H25" s="592"/>
      <c r="I25" s="625" t="s">
        <v>875</v>
      </c>
      <c r="J25" s="590" t="s">
        <v>852</v>
      </c>
      <c r="K25" s="596"/>
      <c r="L25" s="596"/>
      <c r="M25" s="583"/>
    </row>
    <row r="26" spans="1:16" ht="14.25" customHeight="1">
      <c r="A26" s="586">
        <v>22</v>
      </c>
      <c r="B26" s="655" t="s">
        <v>1314</v>
      </c>
      <c r="C26" s="588" t="s">
        <v>1315</v>
      </c>
      <c r="D26" s="589" t="s">
        <v>558</v>
      </c>
      <c r="E26" s="588" t="s">
        <v>1738</v>
      </c>
      <c r="F26" s="590" t="s">
        <v>852</v>
      </c>
      <c r="G26" s="596"/>
      <c r="H26" s="621"/>
      <c r="I26" s="625" t="s">
        <v>875</v>
      </c>
      <c r="J26" s="590" t="s">
        <v>852</v>
      </c>
      <c r="K26" s="595"/>
      <c r="L26" s="596"/>
      <c r="M26" s="624"/>
    </row>
    <row r="27" spans="1:16" ht="25.5">
      <c r="A27" s="586">
        <v>23</v>
      </c>
      <c r="B27" s="587" t="s">
        <v>698</v>
      </c>
      <c r="C27" s="588" t="s">
        <v>1054</v>
      </c>
      <c r="D27" s="589" t="s">
        <v>1320</v>
      </c>
      <c r="E27" s="588" t="s">
        <v>1738</v>
      </c>
      <c r="F27" s="616" t="s">
        <v>375</v>
      </c>
      <c r="G27" s="596" t="s">
        <v>1167</v>
      </c>
      <c r="H27" s="621"/>
      <c r="I27" s="625" t="s">
        <v>875</v>
      </c>
      <c r="J27" s="590" t="s">
        <v>375</v>
      </c>
      <c r="K27" s="595"/>
      <c r="L27" s="596"/>
      <c r="M27" s="624"/>
    </row>
    <row r="28" spans="1:16" ht="28.5" customHeight="1">
      <c r="A28" s="586">
        <v>24</v>
      </c>
      <c r="B28" s="587" t="s">
        <v>36</v>
      </c>
      <c r="C28" s="588" t="s">
        <v>1595</v>
      </c>
      <c r="D28" s="589" t="s">
        <v>1547</v>
      </c>
      <c r="E28" s="588" t="s">
        <v>1496</v>
      </c>
      <c r="F28" s="590" t="s">
        <v>2147</v>
      </c>
      <c r="G28" s="596"/>
      <c r="H28" s="592"/>
      <c r="I28" s="593"/>
      <c r="J28" s="594"/>
      <c r="K28" s="594"/>
      <c r="L28" s="596"/>
      <c r="M28" s="656"/>
    </row>
    <row r="29" spans="1:16">
      <c r="A29" s="586">
        <v>25</v>
      </c>
      <c r="B29" s="587" t="s">
        <v>33</v>
      </c>
      <c r="C29" s="588" t="s">
        <v>904</v>
      </c>
      <c r="D29" s="589" t="s">
        <v>730</v>
      </c>
      <c r="E29" s="588" t="s">
        <v>1738</v>
      </c>
      <c r="F29" s="590" t="s">
        <v>3648</v>
      </c>
      <c r="G29" s="596"/>
      <c r="H29" s="592"/>
      <c r="I29" s="593"/>
      <c r="J29" s="594"/>
      <c r="K29" s="594"/>
      <c r="L29" s="596"/>
      <c r="M29" s="656"/>
    </row>
    <row r="30" spans="1:16">
      <c r="A30" s="601">
        <v>26</v>
      </c>
      <c r="B30" s="602" t="s">
        <v>1385</v>
      </c>
      <c r="C30" s="603" t="s">
        <v>381</v>
      </c>
      <c r="D30" s="604" t="s">
        <v>850</v>
      </c>
      <c r="E30" s="603" t="s">
        <v>1593</v>
      </c>
      <c r="F30" s="605"/>
      <c r="G30" s="606"/>
      <c r="H30" s="607"/>
      <c r="I30" s="593"/>
      <c r="J30" s="594"/>
      <c r="K30" s="594"/>
      <c r="L30" s="596"/>
      <c r="M30" s="656"/>
    </row>
    <row r="31" spans="1:16" ht="29.25" customHeight="1">
      <c r="A31" s="586">
        <v>27</v>
      </c>
      <c r="B31" s="587" t="s">
        <v>1018</v>
      </c>
      <c r="C31" s="588" t="s">
        <v>1604</v>
      </c>
      <c r="D31" s="589" t="s">
        <v>853</v>
      </c>
      <c r="E31" s="588" t="s">
        <v>1738</v>
      </c>
      <c r="F31" s="616" t="s">
        <v>852</v>
      </c>
      <c r="G31" s="596"/>
      <c r="H31" s="657"/>
      <c r="I31" s="625" t="s">
        <v>875</v>
      </c>
      <c r="J31" s="590" t="s">
        <v>852</v>
      </c>
      <c r="K31" s="595"/>
      <c r="L31" s="596"/>
      <c r="M31" s="658"/>
    </row>
    <row r="32" spans="1:16">
      <c r="A32" s="627">
        <v>28</v>
      </c>
      <c r="B32" s="664" t="s">
        <v>3649</v>
      </c>
      <c r="C32" s="629" t="s">
        <v>3650</v>
      </c>
      <c r="D32" s="630" t="s">
        <v>1376</v>
      </c>
      <c r="E32" s="588" t="s">
        <v>1738</v>
      </c>
      <c r="F32" s="662" t="s">
        <v>1299</v>
      </c>
      <c r="G32" s="596"/>
      <c r="H32" s="657" t="s">
        <v>1300</v>
      </c>
      <c r="I32" s="659"/>
      <c r="J32" s="660"/>
      <c r="K32" s="660"/>
      <c r="L32" s="661"/>
      <c r="M32" s="658"/>
    </row>
    <row r="33" spans="1:13" ht="25.5">
      <c r="A33" s="601">
        <v>29</v>
      </c>
      <c r="B33" s="602" t="s">
        <v>8</v>
      </c>
      <c r="C33" s="603" t="s">
        <v>851</v>
      </c>
      <c r="D33" s="604" t="s">
        <v>1405</v>
      </c>
      <c r="E33" s="603" t="s">
        <v>1593</v>
      </c>
      <c r="F33" s="605" t="s">
        <v>1025</v>
      </c>
      <c r="G33" s="606"/>
      <c r="H33" s="607"/>
      <c r="I33" s="593"/>
      <c r="J33" s="594"/>
      <c r="K33" s="594"/>
      <c r="L33" s="596"/>
      <c r="M33" s="656"/>
    </row>
    <row r="34" spans="1:13" ht="25.5">
      <c r="A34" s="627">
        <v>30</v>
      </c>
      <c r="B34" s="628" t="s">
        <v>1386</v>
      </c>
      <c r="C34" s="631" t="s">
        <v>382</v>
      </c>
      <c r="D34" s="630" t="s">
        <v>1376</v>
      </c>
      <c r="E34" s="588" t="s">
        <v>1738</v>
      </c>
      <c r="F34" s="662" t="s">
        <v>1895</v>
      </c>
      <c r="G34" s="663" t="s">
        <v>1896</v>
      </c>
      <c r="H34" s="592"/>
      <c r="I34" s="593"/>
      <c r="J34" s="594"/>
      <c r="K34" s="594"/>
      <c r="L34" s="596"/>
      <c r="M34" s="656"/>
    </row>
    <row r="35" spans="1:13" ht="28.5" customHeight="1">
      <c r="A35" s="627">
        <v>31</v>
      </c>
      <c r="B35" s="628" t="s">
        <v>2940</v>
      </c>
      <c r="C35" s="631" t="s">
        <v>1507</v>
      </c>
      <c r="D35" s="630" t="s">
        <v>267</v>
      </c>
      <c r="E35" s="588" t="s">
        <v>1738</v>
      </c>
      <c r="F35" s="667" t="s">
        <v>1301</v>
      </c>
      <c r="G35" s="596"/>
      <c r="H35" s="592" t="s">
        <v>1302</v>
      </c>
      <c r="I35" s="593"/>
      <c r="J35" s="594"/>
      <c r="K35" s="594"/>
      <c r="L35" s="596"/>
      <c r="M35" s="656"/>
    </row>
    <row r="36" spans="1:13" ht="26.25" customHeight="1">
      <c r="A36" s="627">
        <v>32</v>
      </c>
      <c r="B36" s="664" t="s">
        <v>2443</v>
      </c>
      <c r="C36" s="629" t="s">
        <v>2532</v>
      </c>
      <c r="D36" s="630" t="s">
        <v>749</v>
      </c>
      <c r="E36" s="588" t="s">
        <v>1738</v>
      </c>
      <c r="F36" s="665" t="s">
        <v>2444</v>
      </c>
      <c r="G36" s="663" t="s">
        <v>2445</v>
      </c>
      <c r="H36" s="666"/>
      <c r="I36" s="593"/>
      <c r="J36" s="594"/>
      <c r="K36" s="594"/>
      <c r="L36" s="596"/>
      <c r="M36" s="656"/>
    </row>
    <row r="37" spans="1:13" ht="13.5" customHeight="1">
      <c r="A37" s="601">
        <v>33</v>
      </c>
      <c r="B37" s="602" t="s">
        <v>1075</v>
      </c>
      <c r="C37" s="603" t="s">
        <v>1074</v>
      </c>
      <c r="D37" s="604" t="s">
        <v>749</v>
      </c>
      <c r="E37" s="603" t="s">
        <v>1593</v>
      </c>
      <c r="F37" s="668"/>
      <c r="G37" s="669"/>
      <c r="H37" s="607"/>
      <c r="I37" s="593"/>
      <c r="J37" s="594"/>
      <c r="K37" s="594"/>
      <c r="L37" s="596"/>
      <c r="M37" s="656"/>
    </row>
    <row r="38" spans="1:13" ht="27.75" customHeight="1">
      <c r="A38" s="586">
        <v>34</v>
      </c>
      <c r="B38" s="587" t="s">
        <v>1408</v>
      </c>
      <c r="C38" s="588" t="s">
        <v>1407</v>
      </c>
      <c r="D38" s="589" t="s">
        <v>1532</v>
      </c>
      <c r="E38" s="588" t="s">
        <v>1738</v>
      </c>
      <c r="F38" s="590" t="s">
        <v>852</v>
      </c>
      <c r="G38" s="670"/>
      <c r="H38" s="592"/>
      <c r="I38" s="593"/>
      <c r="J38" s="594"/>
      <c r="K38" s="594"/>
      <c r="L38" s="596"/>
      <c r="M38" s="656"/>
    </row>
    <row r="39" spans="1:13" ht="13.5" customHeight="1">
      <c r="A39" s="671">
        <v>35</v>
      </c>
      <c r="B39" s="672" t="s">
        <v>888</v>
      </c>
      <c r="C39" s="673" t="s">
        <v>884</v>
      </c>
      <c r="D39" s="674" t="s">
        <v>1532</v>
      </c>
      <c r="E39" s="673" t="s">
        <v>1593</v>
      </c>
      <c r="F39" s="675"/>
      <c r="G39" s="676"/>
      <c r="H39" s="677"/>
      <c r="I39" s="593"/>
      <c r="J39" s="594"/>
      <c r="K39" s="594"/>
      <c r="L39" s="596"/>
      <c r="M39" s="656"/>
    </row>
    <row r="40" spans="1:13" ht="13.5" customHeight="1">
      <c r="A40" s="601">
        <v>36</v>
      </c>
      <c r="B40" s="602" t="s">
        <v>1088</v>
      </c>
      <c r="C40" s="603" t="s">
        <v>1085</v>
      </c>
      <c r="D40" s="604" t="s">
        <v>1587</v>
      </c>
      <c r="E40" s="603" t="s">
        <v>160</v>
      </c>
      <c r="F40" s="605"/>
      <c r="G40" s="606"/>
      <c r="H40" s="678"/>
      <c r="I40" s="593"/>
      <c r="J40" s="594"/>
      <c r="K40" s="594"/>
      <c r="L40" s="596"/>
      <c r="M40" s="656"/>
    </row>
    <row r="41" spans="1:13" ht="13.5" customHeight="1">
      <c r="A41" s="586">
        <v>37</v>
      </c>
      <c r="B41" s="587" t="s">
        <v>1087</v>
      </c>
      <c r="C41" s="588" t="s">
        <v>1086</v>
      </c>
      <c r="D41" s="589" t="s">
        <v>699</v>
      </c>
      <c r="E41" s="588" t="s">
        <v>1738</v>
      </c>
      <c r="F41" s="609" t="s">
        <v>1021</v>
      </c>
      <c r="G41" s="596"/>
      <c r="H41" s="666"/>
      <c r="I41" s="593"/>
      <c r="J41" s="594"/>
      <c r="K41" s="594"/>
      <c r="L41" s="596"/>
      <c r="M41" s="656"/>
    </row>
    <row r="42" spans="1:13" ht="13.5" customHeight="1">
      <c r="A42" s="586">
        <v>38</v>
      </c>
      <c r="B42" s="587" t="s">
        <v>1175</v>
      </c>
      <c r="C42" s="588" t="s">
        <v>1019</v>
      </c>
      <c r="D42" s="589" t="s">
        <v>1327</v>
      </c>
      <c r="E42" s="588" t="s">
        <v>1738</v>
      </c>
      <c r="F42" s="609" t="s">
        <v>3355</v>
      </c>
      <c r="G42" s="596"/>
      <c r="H42" s="666"/>
      <c r="I42" s="593"/>
      <c r="J42" s="594"/>
      <c r="K42" s="594"/>
      <c r="L42" s="596"/>
      <c r="M42" s="656"/>
    </row>
    <row r="43" spans="1:13" ht="13.5" customHeight="1">
      <c r="A43" s="586">
        <v>39</v>
      </c>
      <c r="B43" s="587" t="s">
        <v>1406</v>
      </c>
      <c r="C43" s="588" t="s">
        <v>706</v>
      </c>
      <c r="D43" s="589" t="s">
        <v>730</v>
      </c>
      <c r="E43" s="588" t="s">
        <v>1738</v>
      </c>
      <c r="F43" s="609" t="s">
        <v>1020</v>
      </c>
      <c r="G43" s="679"/>
      <c r="H43" s="666"/>
      <c r="I43" s="593"/>
      <c r="J43" s="594"/>
      <c r="K43" s="594"/>
      <c r="L43" s="596"/>
      <c r="M43" s="656"/>
    </row>
    <row r="44" spans="1:13" ht="13.5" customHeight="1">
      <c r="A44" s="586">
        <v>40</v>
      </c>
      <c r="B44" s="680" t="s">
        <v>3651</v>
      </c>
      <c r="C44" s="600" t="s">
        <v>2446</v>
      </c>
      <c r="D44" s="589" t="s">
        <v>730</v>
      </c>
      <c r="E44" s="588" t="s">
        <v>1738</v>
      </c>
      <c r="F44" s="609" t="s">
        <v>3652</v>
      </c>
      <c r="G44" s="597"/>
      <c r="H44" s="666"/>
      <c r="I44" s="593"/>
      <c r="J44" s="594"/>
      <c r="K44" s="594"/>
      <c r="L44" s="596"/>
      <c r="M44" s="656"/>
    </row>
    <row r="45" spans="1:13" ht="13.5" customHeight="1">
      <c r="A45" s="586">
        <v>41</v>
      </c>
      <c r="B45" s="587" t="s">
        <v>1023</v>
      </c>
      <c r="C45" s="588" t="s">
        <v>1022</v>
      </c>
      <c r="D45" s="589" t="s">
        <v>1376</v>
      </c>
      <c r="E45" s="588" t="s">
        <v>1738</v>
      </c>
      <c r="F45" s="609" t="s">
        <v>1024</v>
      </c>
      <c r="G45" s="679"/>
      <c r="H45" s="592"/>
      <c r="I45" s="593"/>
      <c r="J45" s="594"/>
      <c r="K45" s="594"/>
      <c r="L45" s="597"/>
      <c r="M45" s="656"/>
    </row>
    <row r="46" spans="1:13" ht="13.5" customHeight="1">
      <c r="A46" s="586">
        <v>42</v>
      </c>
      <c r="B46" s="587" t="s">
        <v>1064</v>
      </c>
      <c r="C46" s="588" t="s">
        <v>1065</v>
      </c>
      <c r="D46" s="589" t="s">
        <v>558</v>
      </c>
      <c r="E46" s="588" t="s">
        <v>1738</v>
      </c>
      <c r="F46" s="609" t="s">
        <v>3653</v>
      </c>
      <c r="G46" s="679"/>
      <c r="H46" s="592"/>
      <c r="I46" s="593"/>
      <c r="J46" s="594"/>
      <c r="K46" s="594"/>
      <c r="L46" s="596"/>
      <c r="M46" s="656"/>
    </row>
    <row r="47" spans="1:13" ht="13.5" customHeight="1">
      <c r="A47" s="681">
        <v>43</v>
      </c>
      <c r="B47" s="682" t="s">
        <v>43</v>
      </c>
      <c r="C47" s="618" t="s">
        <v>44</v>
      </c>
      <c r="D47" s="619" t="s">
        <v>1532</v>
      </c>
      <c r="E47" s="683"/>
      <c r="F47" s="645"/>
      <c r="G47" s="596"/>
      <c r="H47" s="607" t="s">
        <v>61</v>
      </c>
      <c r="I47" s="593"/>
      <c r="J47" s="594"/>
      <c r="K47" s="594"/>
      <c r="L47" s="596"/>
      <c r="M47" s="656"/>
    </row>
    <row r="48" spans="1:13" ht="13.5" customHeight="1">
      <c r="A48" s="586">
        <v>44</v>
      </c>
      <c r="B48" s="680" t="s">
        <v>62</v>
      </c>
      <c r="C48" s="588" t="s">
        <v>63</v>
      </c>
      <c r="D48" s="589" t="s">
        <v>1532</v>
      </c>
      <c r="E48" s="588" t="s">
        <v>1738</v>
      </c>
      <c r="F48" s="609" t="s">
        <v>852</v>
      </c>
      <c r="G48" s="679"/>
      <c r="H48" s="592"/>
      <c r="I48" s="593"/>
      <c r="J48" s="594"/>
      <c r="K48" s="594"/>
      <c r="L48" s="596"/>
      <c r="M48" s="656"/>
    </row>
    <row r="49" spans="1:13" ht="13.5" customHeight="1">
      <c r="A49" s="586">
        <v>45</v>
      </c>
      <c r="B49" s="587" t="s">
        <v>1400</v>
      </c>
      <c r="C49" s="588" t="s">
        <v>1401</v>
      </c>
      <c r="D49" s="589" t="s">
        <v>1397</v>
      </c>
      <c r="E49" s="588" t="s">
        <v>1738</v>
      </c>
      <c r="F49" s="616">
        <v>14</v>
      </c>
      <c r="G49" s="596"/>
      <c r="H49" s="592"/>
      <c r="I49" s="593"/>
      <c r="J49" s="594"/>
      <c r="K49" s="594"/>
      <c r="L49" s="596"/>
      <c r="M49" s="656"/>
    </row>
    <row r="50" spans="1:13" ht="13.5" customHeight="1">
      <c r="A50" s="627">
        <v>46</v>
      </c>
      <c r="B50" s="628" t="s">
        <v>2941</v>
      </c>
      <c r="C50" s="631" t="s">
        <v>22</v>
      </c>
      <c r="D50" s="630" t="s">
        <v>1532</v>
      </c>
      <c r="E50" s="588" t="s">
        <v>1738</v>
      </c>
      <c r="F50" s="632" t="s">
        <v>23</v>
      </c>
      <c r="G50" s="596"/>
      <c r="H50" s="592"/>
      <c r="I50" s="593"/>
      <c r="J50" s="594"/>
      <c r="K50" s="594"/>
      <c r="L50" s="596"/>
      <c r="M50" s="656"/>
    </row>
    <row r="51" spans="1:13" ht="13.5" customHeight="1">
      <c r="A51" s="627">
        <v>47</v>
      </c>
      <c r="B51" s="628" t="s">
        <v>24</v>
      </c>
      <c r="C51" s="631" t="s">
        <v>25</v>
      </c>
      <c r="D51" s="630" t="s">
        <v>1532</v>
      </c>
      <c r="E51" s="588" t="s">
        <v>1738</v>
      </c>
      <c r="F51" s="684" t="s">
        <v>26</v>
      </c>
      <c r="G51" s="596"/>
      <c r="H51" s="592"/>
      <c r="I51" s="593"/>
      <c r="J51" s="594"/>
      <c r="K51" s="594"/>
      <c r="L51" s="596"/>
      <c r="M51" s="656"/>
    </row>
    <row r="52" spans="1:13" ht="13.5" customHeight="1">
      <c r="A52" s="687">
        <v>48</v>
      </c>
      <c r="B52" s="835" t="s">
        <v>1605</v>
      </c>
      <c r="C52" s="836" t="s">
        <v>1606</v>
      </c>
      <c r="D52" s="690" t="s">
        <v>558</v>
      </c>
      <c r="E52" s="689" t="s">
        <v>1593</v>
      </c>
      <c r="F52" s="839" t="s">
        <v>2944</v>
      </c>
      <c r="G52" s="837"/>
      <c r="H52" s="838"/>
      <c r="I52" s="593"/>
      <c r="J52" s="594"/>
      <c r="K52" s="594"/>
      <c r="L52" s="596"/>
      <c r="M52" s="656"/>
    </row>
    <row r="53" spans="1:13" ht="13.5" customHeight="1">
      <c r="A53" s="627">
        <v>49</v>
      </c>
      <c r="B53" s="628" t="s">
        <v>1505</v>
      </c>
      <c r="C53" s="631" t="s">
        <v>1506</v>
      </c>
      <c r="D53" s="630" t="s">
        <v>1204</v>
      </c>
      <c r="E53" s="588" t="s">
        <v>1738</v>
      </c>
      <c r="F53" s="632">
        <v>14</v>
      </c>
      <c r="G53" s="596"/>
      <c r="H53" s="592"/>
      <c r="I53" s="593"/>
      <c r="J53" s="594"/>
      <c r="K53" s="594"/>
      <c r="L53" s="596"/>
      <c r="M53" s="656"/>
    </row>
    <row r="54" spans="1:13" ht="13.5" customHeight="1">
      <c r="A54" s="627">
        <v>50</v>
      </c>
      <c r="B54" s="628" t="s">
        <v>1294</v>
      </c>
      <c r="C54" s="631" t="s">
        <v>1295</v>
      </c>
      <c r="D54" s="630" t="s">
        <v>1532</v>
      </c>
      <c r="E54" s="588" t="s">
        <v>1738</v>
      </c>
      <c r="F54" s="632">
        <v>1</v>
      </c>
      <c r="G54" s="596"/>
      <c r="H54" s="592"/>
      <c r="I54" s="593"/>
      <c r="J54" s="594"/>
      <c r="K54" s="594"/>
      <c r="L54" s="596"/>
      <c r="M54" s="656"/>
    </row>
    <row r="55" spans="1:13" ht="13.5" customHeight="1">
      <c r="A55" s="627">
        <v>51</v>
      </c>
      <c r="B55" s="628" t="s">
        <v>1291</v>
      </c>
      <c r="C55" s="631" t="s">
        <v>1292</v>
      </c>
      <c r="D55" s="630" t="s">
        <v>1204</v>
      </c>
      <c r="E55" s="588" t="s">
        <v>1738</v>
      </c>
      <c r="F55" s="632" t="s">
        <v>2447</v>
      </c>
      <c r="G55" s="596"/>
      <c r="H55" s="685">
        <v>2.6</v>
      </c>
      <c r="I55" s="593"/>
      <c r="J55" s="594"/>
      <c r="K55" s="594"/>
      <c r="L55" s="596"/>
      <c r="M55" s="656"/>
    </row>
    <row r="56" spans="1:13" ht="13.5" customHeight="1">
      <c r="A56" s="627">
        <v>52</v>
      </c>
      <c r="B56" s="628" t="s">
        <v>1293</v>
      </c>
      <c r="C56" s="631" t="s">
        <v>1293</v>
      </c>
      <c r="D56" s="630" t="s">
        <v>1405</v>
      </c>
      <c r="E56" s="588" t="s">
        <v>1738</v>
      </c>
      <c r="F56" s="632" t="s">
        <v>2448</v>
      </c>
      <c r="G56" s="596"/>
      <c r="H56" s="685" t="s">
        <v>2449</v>
      </c>
      <c r="I56" s="593"/>
      <c r="J56" s="594"/>
      <c r="K56" s="594"/>
      <c r="L56" s="596"/>
      <c r="M56" s="656"/>
    </row>
    <row r="57" spans="1:13" s="695" customFormat="1" ht="13.5" customHeight="1">
      <c r="A57" s="687">
        <v>53</v>
      </c>
      <c r="B57" s="688" t="s">
        <v>2450</v>
      </c>
      <c r="C57" s="689" t="s">
        <v>2451</v>
      </c>
      <c r="D57" s="690" t="s">
        <v>730</v>
      </c>
      <c r="E57" s="689" t="s">
        <v>1593</v>
      </c>
      <c r="F57" s="691"/>
      <c r="G57" s="692"/>
      <c r="H57" s="693" t="s">
        <v>2452</v>
      </c>
      <c r="I57" s="635"/>
      <c r="J57" s="636"/>
      <c r="K57" s="636"/>
      <c r="L57" s="633"/>
      <c r="M57" s="694"/>
    </row>
    <row r="58" spans="1:13" s="695" customFormat="1" ht="13.5" customHeight="1">
      <c r="A58" s="627">
        <v>54</v>
      </c>
      <c r="B58" s="664" t="s">
        <v>2453</v>
      </c>
      <c r="C58" s="629" t="s">
        <v>2454</v>
      </c>
      <c r="D58" s="686" t="s">
        <v>2455</v>
      </c>
      <c r="E58" s="588" t="s">
        <v>1738</v>
      </c>
      <c r="F58" s="632">
        <v>1</v>
      </c>
      <c r="G58" s="633"/>
      <c r="H58" s="634"/>
      <c r="I58" s="635"/>
      <c r="J58" s="636"/>
      <c r="K58" s="636"/>
      <c r="L58" s="633"/>
      <c r="M58" s="694"/>
    </row>
    <row r="59" spans="1:13" s="695" customFormat="1" ht="13.5" customHeight="1">
      <c r="A59" s="627">
        <v>55</v>
      </c>
      <c r="B59" s="664" t="s">
        <v>377</v>
      </c>
      <c r="C59" s="629" t="s">
        <v>2456</v>
      </c>
      <c r="D59" s="686" t="s">
        <v>1204</v>
      </c>
      <c r="E59" s="588" t="s">
        <v>1738</v>
      </c>
      <c r="F59" s="632" t="s">
        <v>2444</v>
      </c>
      <c r="G59" s="633"/>
      <c r="H59" s="634"/>
      <c r="I59" s="635"/>
      <c r="J59" s="636"/>
      <c r="K59" s="636"/>
      <c r="L59" s="633"/>
      <c r="M59" s="694"/>
    </row>
    <row r="60" spans="1:13" s="695" customFormat="1" ht="13.5" customHeight="1">
      <c r="A60" s="627">
        <v>56</v>
      </c>
      <c r="B60" s="664" t="s">
        <v>2457</v>
      </c>
      <c r="C60" s="629" t="s">
        <v>2458</v>
      </c>
      <c r="D60" s="630" t="s">
        <v>730</v>
      </c>
      <c r="E60" s="588" t="s">
        <v>1738</v>
      </c>
      <c r="F60" s="684" t="s">
        <v>2459</v>
      </c>
      <c r="G60" s="633"/>
      <c r="H60" s="701"/>
      <c r="I60" s="635"/>
      <c r="J60" s="636"/>
      <c r="K60" s="636"/>
      <c r="L60" s="633"/>
      <c r="M60" s="694"/>
    </row>
    <row r="61" spans="1:13" s="695" customFormat="1" ht="13.5" customHeight="1">
      <c r="A61" s="627">
        <v>57</v>
      </c>
      <c r="B61" s="664" t="s">
        <v>2460</v>
      </c>
      <c r="C61" s="629" t="s">
        <v>2461</v>
      </c>
      <c r="D61" s="686" t="s">
        <v>850</v>
      </c>
      <c r="E61" s="588" t="s">
        <v>1738</v>
      </c>
      <c r="F61" s="632">
        <v>1</v>
      </c>
      <c r="G61" s="633"/>
      <c r="H61" s="634"/>
      <c r="I61" s="635"/>
      <c r="J61" s="636"/>
      <c r="K61" s="636"/>
      <c r="L61" s="633"/>
      <c r="M61" s="694"/>
    </row>
    <row r="62" spans="1:13" s="695" customFormat="1" ht="13.5" customHeight="1">
      <c r="A62" s="627">
        <v>58</v>
      </c>
      <c r="B62" s="664" t="s">
        <v>2462</v>
      </c>
      <c r="C62" s="629" t="s">
        <v>2463</v>
      </c>
      <c r="D62" s="686" t="s">
        <v>1221</v>
      </c>
      <c r="E62" s="588" t="s">
        <v>1738</v>
      </c>
      <c r="F62" s="684" t="s">
        <v>2464</v>
      </c>
      <c r="G62" s="633"/>
      <c r="H62" s="701"/>
      <c r="I62" s="635"/>
      <c r="J62" s="636"/>
      <c r="K62" s="636"/>
      <c r="L62" s="633"/>
      <c r="M62" s="694"/>
    </row>
    <row r="63" spans="1:13" s="695" customFormat="1" ht="13.5" customHeight="1">
      <c r="A63" s="627">
        <v>60</v>
      </c>
      <c r="B63" s="664" t="s">
        <v>3633</v>
      </c>
      <c r="C63" s="629" t="s">
        <v>3632</v>
      </c>
      <c r="D63" s="630" t="s">
        <v>730</v>
      </c>
      <c r="E63" s="588" t="s">
        <v>1738</v>
      </c>
      <c r="F63" s="632" t="s">
        <v>4045</v>
      </c>
      <c r="G63" s="633"/>
      <c r="H63" s="701">
        <v>41398</v>
      </c>
      <c r="I63" s="635"/>
      <c r="J63" s="636"/>
      <c r="K63" s="636"/>
      <c r="L63" s="633"/>
      <c r="M63" s="694"/>
    </row>
    <row r="64" spans="1:13" s="695" customFormat="1" ht="13.5" customHeight="1">
      <c r="A64" s="627">
        <v>61</v>
      </c>
      <c r="B64" s="664" t="s">
        <v>3638</v>
      </c>
      <c r="C64" s="629" t="s">
        <v>3637</v>
      </c>
      <c r="D64" s="686" t="s">
        <v>1532</v>
      </c>
      <c r="E64" s="631" t="s">
        <v>1738</v>
      </c>
      <c r="F64" s="632" t="s">
        <v>3644</v>
      </c>
      <c r="G64" s="633"/>
      <c r="H64" s="701"/>
      <c r="I64" s="635"/>
      <c r="J64" s="636"/>
      <c r="K64" s="636"/>
      <c r="L64" s="633"/>
      <c r="M64" s="694"/>
    </row>
    <row r="65" spans="1:13" s="695" customFormat="1" ht="13.5" customHeight="1">
      <c r="A65" s="636">
        <v>62</v>
      </c>
      <c r="B65" s="696" t="s">
        <v>3635</v>
      </c>
      <c r="C65" s="697" t="s">
        <v>3634</v>
      </c>
      <c r="D65" s="698" t="s">
        <v>1204</v>
      </c>
      <c r="E65" s="683"/>
      <c r="F65" s="699"/>
      <c r="G65" s="633"/>
      <c r="H65" s="701" t="s">
        <v>3636</v>
      </c>
      <c r="I65" s="635"/>
      <c r="J65" s="636"/>
      <c r="K65" s="636"/>
      <c r="L65" s="633"/>
      <c r="M65" s="694"/>
    </row>
    <row r="66" spans="1:13" s="695" customFormat="1" ht="13.5" customHeight="1">
      <c r="A66" s="636">
        <v>63</v>
      </c>
      <c r="B66" s="696" t="s">
        <v>3641</v>
      </c>
      <c r="C66" s="697" t="s">
        <v>3639</v>
      </c>
      <c r="D66" s="698" t="s">
        <v>1532</v>
      </c>
      <c r="E66" s="683"/>
      <c r="F66" s="699"/>
      <c r="G66" s="633"/>
      <c r="H66" s="701" t="s">
        <v>3640</v>
      </c>
      <c r="I66" s="635"/>
      <c r="J66" s="636"/>
      <c r="K66" s="636"/>
      <c r="L66" s="633"/>
      <c r="M66" s="694"/>
    </row>
    <row r="67" spans="1:13" s="695" customFormat="1" ht="13.5" customHeight="1">
      <c r="A67" s="636">
        <v>64</v>
      </c>
      <c r="B67" s="696" t="s">
        <v>3643</v>
      </c>
      <c r="C67" s="697" t="s">
        <v>3642</v>
      </c>
      <c r="D67" s="698" t="s">
        <v>850</v>
      </c>
      <c r="E67" s="683"/>
      <c r="F67" s="699"/>
      <c r="G67" s="633"/>
      <c r="H67" s="701" t="s">
        <v>852</v>
      </c>
      <c r="I67" s="635"/>
      <c r="J67" s="636"/>
      <c r="K67" s="636"/>
      <c r="L67" s="633"/>
      <c r="M67" s="694"/>
    </row>
    <row r="68" spans="1:13" s="695" customFormat="1" ht="13.5" customHeight="1">
      <c r="A68" s="636">
        <v>65</v>
      </c>
      <c r="B68" s="696" t="s">
        <v>4075</v>
      </c>
      <c r="C68" s="697"/>
      <c r="D68" s="698" t="s">
        <v>1176</v>
      </c>
      <c r="E68" s="683"/>
      <c r="F68" s="699"/>
      <c r="G68" s="633"/>
      <c r="H68" s="701"/>
      <c r="I68" s="635"/>
      <c r="J68" s="636"/>
      <c r="K68" s="636"/>
      <c r="L68" s="633"/>
      <c r="M68" s="694"/>
    </row>
    <row r="69" spans="1:13" ht="13.5" customHeight="1">
      <c r="A69" s="702"/>
      <c r="B69" s="703"/>
      <c r="C69" s="704"/>
      <c r="D69" s="705"/>
      <c r="E69" s="706"/>
      <c r="F69" s="707"/>
      <c r="G69" s="702"/>
      <c r="H69" s="708"/>
      <c r="I69" s="709"/>
      <c r="J69" s="702"/>
      <c r="K69" s="702"/>
      <c r="L69" s="710"/>
      <c r="M69" s="656"/>
    </row>
    <row r="70" spans="1:13" ht="13.5" customHeight="1">
      <c r="A70" s="617"/>
      <c r="B70" s="624"/>
      <c r="C70" s="711"/>
      <c r="D70" s="624"/>
      <c r="E70" s="712"/>
      <c r="F70" s="713"/>
      <c r="G70" s="624"/>
      <c r="H70" s="656"/>
      <c r="I70" s="714"/>
      <c r="J70" s="714"/>
      <c r="K70" s="714"/>
      <c r="L70" s="715"/>
      <c r="M70" s="656"/>
    </row>
    <row r="71" spans="1:13">
      <c r="A71" s="716"/>
      <c r="B71" s="717"/>
      <c r="C71" s="718"/>
      <c r="E71" s="718"/>
      <c r="F71" s="718"/>
      <c r="L71" s="719"/>
    </row>
    <row r="72" spans="1:13" ht="13.5" customHeight="1">
      <c r="A72" s="572"/>
      <c r="B72" s="572"/>
      <c r="C72" s="561" t="s">
        <v>895</v>
      </c>
      <c r="D72" s="717"/>
      <c r="E72" s="717"/>
      <c r="F72" s="717"/>
      <c r="G72" s="720"/>
      <c r="H72" s="721"/>
      <c r="I72" s="721"/>
      <c r="J72" s="721"/>
      <c r="K72" s="721"/>
      <c r="L72" s="722"/>
      <c r="M72" s="721"/>
    </row>
    <row r="73" spans="1:13">
      <c r="C73" s="561" t="s">
        <v>38</v>
      </c>
      <c r="L73" s="719"/>
    </row>
    <row r="74" spans="1:13">
      <c r="C74" s="561" t="s">
        <v>546</v>
      </c>
      <c r="L74" s="719"/>
    </row>
    <row r="75" spans="1:13">
      <c r="L75" s="719"/>
    </row>
    <row r="76" spans="1:13">
      <c r="L76" s="719"/>
    </row>
    <row r="77" spans="1:13">
      <c r="L77" s="719"/>
    </row>
    <row r="78" spans="1:13">
      <c r="L78" s="719"/>
    </row>
    <row r="79" spans="1:13">
      <c r="L79" s="719"/>
    </row>
    <row r="80" spans="1:13">
      <c r="L80" s="719"/>
    </row>
    <row r="81" spans="12:12">
      <c r="L81" s="719"/>
    </row>
    <row r="82" spans="12:12">
      <c r="L82" s="719"/>
    </row>
    <row r="83" spans="12:12">
      <c r="L83" s="719"/>
    </row>
  </sheetData>
  <mergeCells count="2">
    <mergeCell ref="E3:H3"/>
    <mergeCell ref="I3:L3"/>
  </mergeCells>
  <pageMargins left="0.75" right="0.75" top="1" bottom="1" header="0.5" footer="0.5"/>
  <pageSetup paperSize="9" scale="64" orientation="portrait" r:id="rId1"/>
  <headerFooter alignWithMargins="0"/>
  <ignoredErrors>
    <ignoredError sqref="H67" twoDigitTextYear="1"/>
  </ignoredErrors>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GA187"/>
  <sheetViews>
    <sheetView zoomScale="75" workbookViewId="0">
      <pane xSplit="1" ySplit="1" topLeftCell="CV2" activePane="bottomRight" state="frozen"/>
      <selection pane="topRight" activeCell="B1" sqref="B1"/>
      <selection pane="bottomLeft" activeCell="A2" sqref="A2"/>
      <selection pane="bottomRight" activeCell="DE50" sqref="DE50"/>
    </sheetView>
  </sheetViews>
  <sheetFormatPr defaultRowHeight="12.75"/>
  <cols>
    <col min="1" max="1" width="47" customWidth="1"/>
    <col min="2" max="2" width="13.7109375" customWidth="1"/>
    <col min="3" max="3" width="2" hidden="1" customWidth="1"/>
    <col min="4" max="4" width="1.28515625" hidden="1" customWidth="1"/>
    <col min="5" max="5" width="1.42578125" hidden="1" customWidth="1"/>
    <col min="6" max="6" width="2.140625" hidden="1" customWidth="1"/>
    <col min="7" max="7" width="1.7109375" hidden="1" customWidth="1"/>
    <col min="8" max="8" width="2.7109375" hidden="1" customWidth="1"/>
    <col min="9" max="9" width="1.42578125" hidden="1" customWidth="1"/>
    <col min="10" max="10" width="2.28515625" hidden="1" customWidth="1"/>
    <col min="11" max="12" width="0.28515625" hidden="1" customWidth="1"/>
    <col min="13" max="13" width="0.140625" customWidth="1"/>
    <col min="14" max="77" width="8" customWidth="1"/>
    <col min="78" max="78" width="8.140625" customWidth="1"/>
    <col min="79" max="91" width="8" customWidth="1"/>
    <col min="92" max="92" width="9.140625" customWidth="1"/>
    <col min="93" max="94" width="8" customWidth="1"/>
    <col min="95" max="95" width="9.7109375" customWidth="1"/>
    <col min="96" max="96" width="8" customWidth="1"/>
    <col min="97" max="97" width="10.5703125" customWidth="1"/>
    <col min="98" max="133" width="8" customWidth="1"/>
    <col min="134" max="134" width="10.5703125" customWidth="1"/>
    <col min="135" max="190" width="8" customWidth="1"/>
  </cols>
  <sheetData>
    <row r="1" spans="1:133">
      <c r="A1" s="74"/>
      <c r="B1" s="4" t="s">
        <v>750</v>
      </c>
      <c r="C1" s="67">
        <v>2003</v>
      </c>
      <c r="D1" s="74">
        <v>2003</v>
      </c>
      <c r="E1" s="74">
        <v>2003</v>
      </c>
      <c r="F1" s="74">
        <v>2003</v>
      </c>
      <c r="G1" s="74">
        <v>2003</v>
      </c>
      <c r="H1" s="74">
        <v>2003</v>
      </c>
      <c r="I1" s="74">
        <v>2003</v>
      </c>
      <c r="J1" s="74">
        <v>2003</v>
      </c>
      <c r="K1" s="5"/>
      <c r="N1" s="104">
        <v>38718</v>
      </c>
      <c r="O1" s="103">
        <v>38749</v>
      </c>
      <c r="P1" s="103">
        <v>38777</v>
      </c>
      <c r="Q1" s="103">
        <v>38808</v>
      </c>
      <c r="R1" s="103">
        <v>38838</v>
      </c>
      <c r="S1" s="103">
        <v>38869</v>
      </c>
      <c r="T1" s="103">
        <v>38899</v>
      </c>
      <c r="U1" s="103">
        <v>38930</v>
      </c>
      <c r="V1" s="103">
        <v>38961</v>
      </c>
      <c r="W1" s="103">
        <v>38991</v>
      </c>
      <c r="X1" s="103">
        <v>39022</v>
      </c>
      <c r="Y1" s="102">
        <v>39052</v>
      </c>
      <c r="Z1" s="104">
        <v>39083</v>
      </c>
      <c r="AA1" s="103">
        <v>39114</v>
      </c>
      <c r="AB1" s="103">
        <v>39142</v>
      </c>
      <c r="AC1" s="103">
        <v>39173</v>
      </c>
      <c r="AD1" s="103">
        <v>39203</v>
      </c>
      <c r="AE1" s="103">
        <v>39234</v>
      </c>
      <c r="AF1" s="103">
        <v>39264</v>
      </c>
      <c r="AG1" s="103">
        <v>39295</v>
      </c>
      <c r="AH1" s="103">
        <v>39326</v>
      </c>
      <c r="AI1" s="103">
        <v>39356</v>
      </c>
      <c r="AJ1" s="103">
        <v>39387</v>
      </c>
      <c r="AK1" s="102">
        <v>39417</v>
      </c>
      <c r="AL1" s="104">
        <v>39448</v>
      </c>
      <c r="AM1" s="103">
        <v>39479</v>
      </c>
      <c r="AN1" s="103">
        <v>39508</v>
      </c>
      <c r="AO1" s="103">
        <v>39539</v>
      </c>
      <c r="AP1" s="103">
        <v>39569</v>
      </c>
      <c r="AQ1" s="103">
        <v>39600</v>
      </c>
      <c r="AR1" s="103">
        <v>39630</v>
      </c>
      <c r="AS1" s="103">
        <v>39661</v>
      </c>
      <c r="AT1" s="103">
        <v>39692</v>
      </c>
      <c r="AU1" s="103">
        <v>39722</v>
      </c>
      <c r="AV1" s="103">
        <v>39753</v>
      </c>
      <c r="AW1" s="102">
        <v>39783</v>
      </c>
      <c r="AX1" s="104">
        <v>39814</v>
      </c>
      <c r="AY1" s="103">
        <v>39845</v>
      </c>
      <c r="AZ1" s="103">
        <v>39873</v>
      </c>
      <c r="BA1" s="103">
        <v>39904</v>
      </c>
      <c r="BB1" s="103">
        <v>39934</v>
      </c>
      <c r="BC1" s="103">
        <v>39965</v>
      </c>
      <c r="BD1" s="103">
        <v>39995</v>
      </c>
      <c r="BE1" s="103">
        <v>40026</v>
      </c>
      <c r="BF1" s="103">
        <v>40057</v>
      </c>
      <c r="BG1" s="103">
        <v>40087</v>
      </c>
      <c r="BH1" s="103">
        <v>40118</v>
      </c>
      <c r="BI1" s="103">
        <v>40148</v>
      </c>
      <c r="BJ1" s="104">
        <v>40179</v>
      </c>
      <c r="BK1" s="103">
        <v>40210</v>
      </c>
      <c r="BL1" s="103">
        <v>40238</v>
      </c>
      <c r="BM1" s="103">
        <v>40269</v>
      </c>
      <c r="BN1" s="103">
        <v>40299</v>
      </c>
      <c r="BO1" s="103">
        <v>40330</v>
      </c>
      <c r="BP1" s="103">
        <v>40360</v>
      </c>
      <c r="BQ1" s="103">
        <v>40391</v>
      </c>
      <c r="BR1" s="103">
        <v>40422</v>
      </c>
      <c r="BS1" s="103">
        <v>40452</v>
      </c>
      <c r="BT1" s="103">
        <v>40483</v>
      </c>
      <c r="BU1" s="102">
        <v>40513</v>
      </c>
      <c r="BV1" s="104">
        <v>40544</v>
      </c>
      <c r="BW1" s="103">
        <v>40575</v>
      </c>
      <c r="BX1" s="103">
        <v>40603</v>
      </c>
      <c r="BY1" s="103">
        <v>40634</v>
      </c>
      <c r="BZ1" s="103">
        <v>40664</v>
      </c>
      <c r="CA1" s="103">
        <v>40695</v>
      </c>
      <c r="CB1" s="103">
        <v>40725</v>
      </c>
      <c r="CC1" s="103">
        <v>40756</v>
      </c>
      <c r="CD1" s="103">
        <v>40787</v>
      </c>
      <c r="CE1" s="103">
        <v>40817</v>
      </c>
      <c r="CF1" s="103">
        <v>40848</v>
      </c>
      <c r="CG1" s="103">
        <v>40878</v>
      </c>
      <c r="CH1" s="364">
        <v>40909</v>
      </c>
      <c r="CI1" s="176">
        <v>40940</v>
      </c>
      <c r="CJ1" s="176">
        <v>40969</v>
      </c>
      <c r="CK1" s="176">
        <v>41000</v>
      </c>
      <c r="CL1" s="176">
        <v>41030</v>
      </c>
      <c r="CM1" s="176">
        <v>41061</v>
      </c>
      <c r="CN1" s="176">
        <v>41091</v>
      </c>
      <c r="CO1" s="176">
        <v>41122</v>
      </c>
      <c r="CP1" s="176">
        <v>41153</v>
      </c>
      <c r="CQ1" s="176">
        <v>41183</v>
      </c>
      <c r="CR1" s="176">
        <v>41214</v>
      </c>
      <c r="CS1" s="365">
        <v>41244</v>
      </c>
      <c r="CT1" s="918">
        <v>41275</v>
      </c>
      <c r="CU1" s="919">
        <v>41306</v>
      </c>
      <c r="CV1" s="919">
        <v>41334</v>
      </c>
      <c r="CW1" s="919">
        <v>41365</v>
      </c>
      <c r="CX1" s="919">
        <v>41395</v>
      </c>
      <c r="CY1" s="919">
        <v>41426</v>
      </c>
      <c r="CZ1" s="919">
        <v>41456</v>
      </c>
      <c r="DA1" s="919">
        <v>41487</v>
      </c>
      <c r="DB1" s="919">
        <v>41518</v>
      </c>
      <c r="DC1" s="919">
        <v>41548</v>
      </c>
      <c r="DD1" s="919">
        <v>41579</v>
      </c>
      <c r="DE1" s="920">
        <v>41609</v>
      </c>
      <c r="DF1" s="918">
        <v>41640</v>
      </c>
      <c r="DG1" s="919">
        <v>41671</v>
      </c>
      <c r="DH1" s="919">
        <v>41699</v>
      </c>
      <c r="DI1" s="919">
        <v>41730</v>
      </c>
      <c r="DJ1" s="919">
        <v>41760</v>
      </c>
      <c r="DK1" s="919">
        <v>41791</v>
      </c>
      <c r="DL1" s="919">
        <v>41821</v>
      </c>
      <c r="DM1" s="919">
        <v>41852</v>
      </c>
      <c r="DN1" s="919">
        <v>41883</v>
      </c>
      <c r="DO1" s="919">
        <v>41913</v>
      </c>
      <c r="DP1" s="919">
        <v>41944</v>
      </c>
      <c r="DQ1" s="920">
        <v>41974</v>
      </c>
      <c r="DR1" s="918">
        <v>42005</v>
      </c>
      <c r="DS1" s="919">
        <v>42036</v>
      </c>
      <c r="DT1" s="919">
        <v>42064</v>
      </c>
      <c r="DU1" s="919">
        <v>42095</v>
      </c>
      <c r="DV1" s="919">
        <v>42125</v>
      </c>
      <c r="DW1" s="919">
        <v>42156</v>
      </c>
      <c r="DX1" s="919">
        <v>42186</v>
      </c>
      <c r="DY1" s="919">
        <v>42217</v>
      </c>
      <c r="DZ1" s="919">
        <v>42248</v>
      </c>
      <c r="EA1" s="919">
        <v>42278</v>
      </c>
      <c r="EB1" s="919">
        <v>42309</v>
      </c>
      <c r="EC1" s="920">
        <v>42339</v>
      </c>
    </row>
    <row r="2" spans="1:133">
      <c r="A2" s="539" t="s">
        <v>2438</v>
      </c>
      <c r="B2" s="5">
        <v>788</v>
      </c>
      <c r="C2" s="67"/>
      <c r="D2" s="67"/>
      <c r="E2" s="67"/>
      <c r="F2" s="67"/>
      <c r="G2" s="67"/>
      <c r="H2" s="67"/>
      <c r="I2" s="67"/>
      <c r="J2" s="67"/>
      <c r="K2" s="67"/>
      <c r="L2" s="67"/>
      <c r="M2" s="67"/>
      <c r="N2" s="74"/>
      <c r="O2" s="67"/>
      <c r="P2" s="67"/>
      <c r="Q2" s="67"/>
      <c r="R2" s="67"/>
      <c r="S2" s="67"/>
      <c r="T2" s="67"/>
      <c r="U2" s="67"/>
      <c r="V2" s="67"/>
      <c r="W2" s="67">
        <v>1</v>
      </c>
      <c r="X2" s="67">
        <v>12</v>
      </c>
      <c r="Y2" s="11">
        <v>10</v>
      </c>
      <c r="Z2" s="74">
        <v>11</v>
      </c>
      <c r="AA2" s="67">
        <v>5</v>
      </c>
      <c r="AB2" s="67">
        <v>8</v>
      </c>
      <c r="AC2" s="67">
        <v>3</v>
      </c>
      <c r="AD2" s="67">
        <v>5</v>
      </c>
      <c r="AE2" s="67">
        <v>8</v>
      </c>
      <c r="AF2" s="67">
        <v>12</v>
      </c>
      <c r="AG2" s="67">
        <v>1</v>
      </c>
      <c r="AH2" s="67">
        <v>4</v>
      </c>
      <c r="AI2" s="67">
        <v>9</v>
      </c>
      <c r="AJ2" s="67">
        <v>8</v>
      </c>
      <c r="AK2" s="11">
        <v>8</v>
      </c>
      <c r="AL2" s="67">
        <v>7</v>
      </c>
      <c r="AM2" s="67">
        <v>2</v>
      </c>
      <c r="AN2" s="67">
        <v>13</v>
      </c>
      <c r="AO2" s="67">
        <v>6</v>
      </c>
      <c r="AP2" s="67">
        <v>5</v>
      </c>
      <c r="AQ2" s="67">
        <v>8</v>
      </c>
      <c r="AR2" s="67">
        <v>15</v>
      </c>
      <c r="AS2" s="67">
        <v>7</v>
      </c>
      <c r="AT2" s="67">
        <v>4</v>
      </c>
      <c r="AU2" s="67">
        <v>4</v>
      </c>
      <c r="AV2" s="67">
        <v>6</v>
      </c>
      <c r="AW2" s="11">
        <v>4</v>
      </c>
      <c r="AX2" s="67"/>
      <c r="AY2" s="67">
        <v>3</v>
      </c>
      <c r="AZ2" s="67">
        <v>5</v>
      </c>
      <c r="BA2" s="67">
        <v>5</v>
      </c>
      <c r="BB2" s="67">
        <v>2</v>
      </c>
      <c r="BC2" s="67">
        <v>2</v>
      </c>
      <c r="BD2" s="67">
        <v>6</v>
      </c>
      <c r="BE2" s="67">
        <v>11</v>
      </c>
      <c r="BF2" s="67">
        <v>25</v>
      </c>
      <c r="BG2" s="67">
        <v>5</v>
      </c>
      <c r="BH2" s="67">
        <v>3</v>
      </c>
      <c r="BI2" s="67">
        <v>13</v>
      </c>
      <c r="BJ2" s="74">
        <v>32</v>
      </c>
      <c r="BK2" s="67">
        <v>9</v>
      </c>
      <c r="BL2" s="67">
        <v>1</v>
      </c>
      <c r="BM2" s="67">
        <v>12</v>
      </c>
      <c r="BN2" s="67">
        <v>11</v>
      </c>
      <c r="BO2" s="67">
        <v>13</v>
      </c>
      <c r="BP2" s="67">
        <v>6</v>
      </c>
      <c r="BQ2" s="67">
        <v>8</v>
      </c>
      <c r="BR2" s="67">
        <v>12</v>
      </c>
      <c r="BS2" s="67">
        <v>5</v>
      </c>
      <c r="BT2" s="67">
        <v>7</v>
      </c>
      <c r="BU2" s="11">
        <v>11</v>
      </c>
      <c r="BV2" s="74">
        <v>7</v>
      </c>
      <c r="BW2" s="67">
        <v>5</v>
      </c>
      <c r="BX2" s="67">
        <v>24</v>
      </c>
      <c r="BY2" s="67">
        <v>8</v>
      </c>
      <c r="BZ2" s="67">
        <v>5</v>
      </c>
      <c r="CA2" s="67">
        <v>6</v>
      </c>
      <c r="CB2" s="67">
        <v>13</v>
      </c>
      <c r="CC2" s="67">
        <v>5</v>
      </c>
      <c r="CD2" s="67">
        <v>16</v>
      </c>
      <c r="CE2" s="67">
        <v>13</v>
      </c>
      <c r="CF2" s="67">
        <v>16</v>
      </c>
      <c r="CG2" s="67">
        <v>22</v>
      </c>
      <c r="CH2" s="74">
        <v>10</v>
      </c>
      <c r="CI2" s="67">
        <v>3</v>
      </c>
      <c r="CJ2" s="67">
        <v>15</v>
      </c>
      <c r="CK2" s="67">
        <v>7</v>
      </c>
      <c r="CL2" s="67">
        <v>6</v>
      </c>
      <c r="CM2" s="67">
        <v>4</v>
      </c>
      <c r="CN2" s="67">
        <v>21</v>
      </c>
      <c r="CO2" s="67">
        <v>18</v>
      </c>
      <c r="CP2" s="67">
        <v>8</v>
      </c>
      <c r="CQ2" s="67">
        <v>45</v>
      </c>
      <c r="CR2" s="67">
        <v>29</v>
      </c>
      <c r="CS2" s="11">
        <v>63</v>
      </c>
      <c r="CT2" s="74">
        <v>18</v>
      </c>
      <c r="CU2" s="67">
        <v>1</v>
      </c>
      <c r="CV2" s="67"/>
      <c r="CW2" s="67">
        <v>2</v>
      </c>
      <c r="CX2" s="67">
        <v>1</v>
      </c>
      <c r="CY2" s="67"/>
      <c r="CZ2" s="67"/>
      <c r="DA2" s="67">
        <v>2</v>
      </c>
      <c r="DB2" s="67"/>
      <c r="DC2" s="67">
        <v>1</v>
      </c>
      <c r="DD2" s="67"/>
      <c r="DE2" s="11">
        <v>1</v>
      </c>
      <c r="DF2" s="74"/>
      <c r="DG2" s="67"/>
      <c r="DH2" s="67"/>
      <c r="DI2" s="67"/>
      <c r="DJ2" s="67"/>
      <c r="DK2" s="67"/>
      <c r="DL2" s="67"/>
      <c r="DM2" s="67"/>
      <c r="DN2" s="67"/>
      <c r="DO2" s="67"/>
      <c r="DP2" s="67"/>
      <c r="DQ2" s="11"/>
      <c r="DR2" s="74"/>
      <c r="DS2" s="67"/>
      <c r="DT2" s="67"/>
      <c r="DU2" s="67"/>
      <c r="DV2" s="67"/>
      <c r="DW2" s="67"/>
      <c r="DX2" s="67"/>
      <c r="DY2" s="67"/>
      <c r="DZ2" s="67"/>
      <c r="EA2" s="67"/>
      <c r="EB2" s="67"/>
      <c r="EC2" s="11"/>
    </row>
    <row r="3" spans="1:133">
      <c r="A3" s="33" t="s">
        <v>1306</v>
      </c>
      <c r="B3" s="6">
        <v>604</v>
      </c>
      <c r="C3" s="94"/>
      <c r="D3" s="94"/>
      <c r="E3" s="94"/>
      <c r="F3" s="94"/>
      <c r="G3" s="94"/>
      <c r="H3" s="94"/>
      <c r="I3" s="94"/>
      <c r="J3" s="94"/>
      <c r="K3" s="22"/>
      <c r="L3" s="94"/>
      <c r="M3" s="94"/>
      <c r="N3" s="90"/>
      <c r="O3" s="94"/>
      <c r="P3" s="94"/>
      <c r="Q3" s="94"/>
      <c r="R3" s="94"/>
      <c r="S3" s="94"/>
      <c r="T3" s="94"/>
      <c r="U3" s="94"/>
      <c r="V3" s="94"/>
      <c r="W3" s="94">
        <v>1</v>
      </c>
      <c r="X3" s="94">
        <v>3</v>
      </c>
      <c r="Y3" s="28">
        <v>1</v>
      </c>
      <c r="Z3" s="90">
        <v>3</v>
      </c>
      <c r="AA3" s="94">
        <v>3</v>
      </c>
      <c r="AB3" s="94">
        <v>3</v>
      </c>
      <c r="AC3" s="94">
        <v>2</v>
      </c>
      <c r="AD3" s="94"/>
      <c r="AE3" s="94">
        <v>1</v>
      </c>
      <c r="AF3" s="94">
        <v>3</v>
      </c>
      <c r="AG3" s="94"/>
      <c r="AH3" s="94">
        <v>3</v>
      </c>
      <c r="AI3" s="94">
        <v>1</v>
      </c>
      <c r="AJ3" s="94">
        <v>1</v>
      </c>
      <c r="AK3" s="12">
        <v>2</v>
      </c>
      <c r="AL3" s="94">
        <v>2</v>
      </c>
      <c r="AM3" s="94">
        <v>1</v>
      </c>
      <c r="AN3" s="94">
        <v>2</v>
      </c>
      <c r="AO3" s="94">
        <v>1</v>
      </c>
      <c r="AP3" s="94">
        <v>1</v>
      </c>
      <c r="AQ3" s="94">
        <v>2</v>
      </c>
      <c r="AR3" s="94">
        <v>3</v>
      </c>
      <c r="AS3" s="94">
        <v>4</v>
      </c>
      <c r="AT3" s="94"/>
      <c r="AU3" s="94">
        <v>2</v>
      </c>
      <c r="AV3" s="94">
        <v>1</v>
      </c>
      <c r="AW3" s="12"/>
      <c r="AX3" s="94"/>
      <c r="AY3" s="94">
        <v>2</v>
      </c>
      <c r="AZ3" s="94">
        <v>2</v>
      </c>
      <c r="BA3" s="94">
        <v>1</v>
      </c>
      <c r="BB3" s="94">
        <v>1</v>
      </c>
      <c r="BC3" s="94"/>
      <c r="BD3" s="94">
        <v>4</v>
      </c>
      <c r="BE3" s="94">
        <v>4</v>
      </c>
      <c r="BF3" s="94">
        <v>9</v>
      </c>
      <c r="BG3" s="94">
        <v>4</v>
      </c>
      <c r="BH3" s="94">
        <v>3</v>
      </c>
      <c r="BI3" s="94">
        <v>6</v>
      </c>
      <c r="BJ3" s="90">
        <v>6</v>
      </c>
      <c r="BK3" s="94">
        <v>6</v>
      </c>
      <c r="BL3" s="94"/>
      <c r="BM3" s="94">
        <v>4</v>
      </c>
      <c r="BN3" s="94">
        <v>6</v>
      </c>
      <c r="BO3" s="94">
        <v>8</v>
      </c>
      <c r="BP3" s="94">
        <v>5</v>
      </c>
      <c r="BQ3" s="94">
        <v>8</v>
      </c>
      <c r="BR3" s="94">
        <v>11</v>
      </c>
      <c r="BS3" s="94">
        <v>3</v>
      </c>
      <c r="BT3" s="94">
        <v>6</v>
      </c>
      <c r="BU3" s="12">
        <v>11</v>
      </c>
      <c r="BV3" s="90">
        <v>7</v>
      </c>
      <c r="BW3" s="94">
        <v>4</v>
      </c>
      <c r="BX3" s="94">
        <v>11</v>
      </c>
      <c r="BY3" s="94">
        <v>8</v>
      </c>
      <c r="BZ3" s="94">
        <v>4</v>
      </c>
      <c r="CA3" s="94">
        <v>1</v>
      </c>
      <c r="CB3" s="94">
        <v>11</v>
      </c>
      <c r="CC3" s="94">
        <v>5</v>
      </c>
      <c r="CD3" s="94">
        <v>16</v>
      </c>
      <c r="CE3" s="94">
        <v>8</v>
      </c>
      <c r="CF3" s="94">
        <v>2</v>
      </c>
      <c r="CG3" s="22">
        <v>13</v>
      </c>
      <c r="CH3" s="19">
        <v>8</v>
      </c>
      <c r="CI3" s="22"/>
      <c r="CJ3" s="22">
        <v>8</v>
      </c>
      <c r="CK3" s="22">
        <v>7</v>
      </c>
      <c r="CL3" s="22">
        <v>6</v>
      </c>
      <c r="CM3" s="22">
        <v>4</v>
      </c>
      <c r="CN3" s="22">
        <v>19</v>
      </c>
      <c r="CO3" s="22">
        <v>17</v>
      </c>
      <c r="CP3" s="22">
        <v>8</v>
      </c>
      <c r="CQ3" s="22">
        <v>43</v>
      </c>
      <c r="CR3" s="22">
        <v>29</v>
      </c>
      <c r="CS3" s="12">
        <v>58</v>
      </c>
      <c r="CT3" s="19">
        <v>4</v>
      </c>
      <c r="CU3" s="22">
        <v>1</v>
      </c>
      <c r="CV3" s="22"/>
      <c r="CW3" s="22">
        <v>2</v>
      </c>
      <c r="CX3" s="22"/>
      <c r="CY3" s="22"/>
      <c r="CZ3" s="22"/>
      <c r="DA3" s="22">
        <v>2</v>
      </c>
      <c r="DB3" s="22"/>
      <c r="DC3" s="22">
        <v>1</v>
      </c>
      <c r="DD3" s="22"/>
      <c r="DE3" s="12">
        <v>1</v>
      </c>
      <c r="DF3" s="19"/>
      <c r="DG3" s="22"/>
      <c r="DH3" s="22"/>
      <c r="DI3" s="22"/>
      <c r="DJ3" s="22"/>
      <c r="DK3" s="22"/>
      <c r="DL3" s="22"/>
      <c r="DM3" s="22"/>
      <c r="DN3" s="22"/>
      <c r="DO3" s="22"/>
      <c r="DP3" s="22"/>
      <c r="DQ3" s="12"/>
      <c r="DR3" s="19"/>
      <c r="DS3" s="22"/>
      <c r="DT3" s="22"/>
      <c r="DU3" s="22"/>
      <c r="DV3" s="22"/>
      <c r="DW3" s="22"/>
      <c r="DX3" s="22"/>
      <c r="DY3" s="22"/>
      <c r="DZ3" s="22"/>
      <c r="EA3" s="22"/>
      <c r="EB3" s="22"/>
      <c r="EC3" s="12"/>
    </row>
    <row r="4" spans="1:133">
      <c r="A4" s="33" t="s">
        <v>398</v>
      </c>
      <c r="B4" s="115"/>
      <c r="C4" s="94"/>
      <c r="D4" s="94"/>
      <c r="E4" s="94"/>
      <c r="F4" s="94"/>
      <c r="G4" s="94"/>
      <c r="H4" s="94"/>
      <c r="I4" s="94"/>
      <c r="J4" s="94"/>
      <c r="K4" s="22"/>
      <c r="L4" s="94"/>
      <c r="M4" s="94"/>
      <c r="N4" s="90">
        <f>N3</f>
        <v>0</v>
      </c>
      <c r="O4" s="94">
        <f>N4+O3</f>
        <v>0</v>
      </c>
      <c r="P4" s="94">
        <f t="shared" ref="P4:AW4" si="0">O4+P3</f>
        <v>0</v>
      </c>
      <c r="Q4" s="94">
        <f t="shared" si="0"/>
        <v>0</v>
      </c>
      <c r="R4" s="94">
        <f t="shared" si="0"/>
        <v>0</v>
      </c>
      <c r="S4" s="94">
        <f t="shared" si="0"/>
        <v>0</v>
      </c>
      <c r="T4" s="94">
        <f t="shared" si="0"/>
        <v>0</v>
      </c>
      <c r="U4" s="94">
        <f t="shared" si="0"/>
        <v>0</v>
      </c>
      <c r="V4" s="94">
        <f t="shared" si="0"/>
        <v>0</v>
      </c>
      <c r="W4" s="94">
        <f t="shared" si="0"/>
        <v>1</v>
      </c>
      <c r="X4" s="94">
        <f t="shared" si="0"/>
        <v>4</v>
      </c>
      <c r="Y4" s="28">
        <f t="shared" si="0"/>
        <v>5</v>
      </c>
      <c r="Z4" s="90">
        <f t="shared" si="0"/>
        <v>8</v>
      </c>
      <c r="AA4" s="94">
        <f t="shared" si="0"/>
        <v>11</v>
      </c>
      <c r="AB4" s="94">
        <f t="shared" si="0"/>
        <v>14</v>
      </c>
      <c r="AC4" s="94">
        <f t="shared" si="0"/>
        <v>16</v>
      </c>
      <c r="AD4" s="94">
        <f t="shared" si="0"/>
        <v>16</v>
      </c>
      <c r="AE4" s="94">
        <f t="shared" si="0"/>
        <v>17</v>
      </c>
      <c r="AF4" s="94">
        <f t="shared" si="0"/>
        <v>20</v>
      </c>
      <c r="AG4" s="94">
        <f t="shared" si="0"/>
        <v>20</v>
      </c>
      <c r="AH4" s="94">
        <f t="shared" si="0"/>
        <v>23</v>
      </c>
      <c r="AI4" s="94">
        <f t="shared" si="0"/>
        <v>24</v>
      </c>
      <c r="AJ4" s="94">
        <f t="shared" si="0"/>
        <v>25</v>
      </c>
      <c r="AK4" s="12">
        <f t="shared" si="0"/>
        <v>27</v>
      </c>
      <c r="AL4" s="94">
        <f t="shared" si="0"/>
        <v>29</v>
      </c>
      <c r="AM4" s="94">
        <f t="shared" si="0"/>
        <v>30</v>
      </c>
      <c r="AN4" s="94">
        <f t="shared" si="0"/>
        <v>32</v>
      </c>
      <c r="AO4" s="94">
        <f t="shared" si="0"/>
        <v>33</v>
      </c>
      <c r="AP4" s="94">
        <f t="shared" si="0"/>
        <v>34</v>
      </c>
      <c r="AQ4" s="94">
        <f t="shared" si="0"/>
        <v>36</v>
      </c>
      <c r="AR4" s="94">
        <f t="shared" si="0"/>
        <v>39</v>
      </c>
      <c r="AS4" s="94">
        <f t="shared" si="0"/>
        <v>43</v>
      </c>
      <c r="AT4" s="94">
        <f t="shared" si="0"/>
        <v>43</v>
      </c>
      <c r="AU4" s="94">
        <f t="shared" si="0"/>
        <v>45</v>
      </c>
      <c r="AV4" s="94">
        <f t="shared" si="0"/>
        <v>46</v>
      </c>
      <c r="AW4" s="12">
        <f t="shared" si="0"/>
        <v>46</v>
      </c>
      <c r="AX4" s="94">
        <f t="shared" ref="AX4:BH4" si="1">AW4+AX3</f>
        <v>46</v>
      </c>
      <c r="AY4" s="94">
        <f t="shared" si="1"/>
        <v>48</v>
      </c>
      <c r="AZ4" s="94">
        <f t="shared" si="1"/>
        <v>50</v>
      </c>
      <c r="BA4" s="94">
        <f t="shared" si="1"/>
        <v>51</v>
      </c>
      <c r="BB4" s="94">
        <f t="shared" si="1"/>
        <v>52</v>
      </c>
      <c r="BC4" s="94">
        <f t="shared" si="1"/>
        <v>52</v>
      </c>
      <c r="BD4" s="94">
        <f t="shared" si="1"/>
        <v>56</v>
      </c>
      <c r="BE4" s="94">
        <f t="shared" si="1"/>
        <v>60</v>
      </c>
      <c r="BF4" s="94">
        <f t="shared" si="1"/>
        <v>69</v>
      </c>
      <c r="BG4" s="94">
        <f t="shared" si="1"/>
        <v>73</v>
      </c>
      <c r="BH4" s="94">
        <f t="shared" si="1"/>
        <v>76</v>
      </c>
      <c r="BI4" s="94">
        <f t="shared" ref="BI4:BU4" si="2">BH4+BI3</f>
        <v>82</v>
      </c>
      <c r="BJ4" s="90">
        <f t="shared" si="2"/>
        <v>88</v>
      </c>
      <c r="BK4" s="94">
        <f t="shared" si="2"/>
        <v>94</v>
      </c>
      <c r="BL4" s="94">
        <f t="shared" si="2"/>
        <v>94</v>
      </c>
      <c r="BM4" s="94">
        <f t="shared" si="2"/>
        <v>98</v>
      </c>
      <c r="BN4" s="94">
        <f t="shared" si="2"/>
        <v>104</v>
      </c>
      <c r="BO4" s="94">
        <f t="shared" si="2"/>
        <v>112</v>
      </c>
      <c r="BP4" s="94">
        <f t="shared" si="2"/>
        <v>117</v>
      </c>
      <c r="BQ4" s="94">
        <f t="shared" si="2"/>
        <v>125</v>
      </c>
      <c r="BR4" s="94">
        <f t="shared" si="2"/>
        <v>136</v>
      </c>
      <c r="BS4" s="94">
        <f t="shared" si="2"/>
        <v>139</v>
      </c>
      <c r="BT4" s="94">
        <f t="shared" si="2"/>
        <v>145</v>
      </c>
      <c r="BU4" s="12">
        <f t="shared" si="2"/>
        <v>156</v>
      </c>
      <c r="BV4" s="90">
        <f t="shared" ref="BV4:CG4" si="3">BU4+BV3</f>
        <v>163</v>
      </c>
      <c r="BW4" s="94">
        <f t="shared" si="3"/>
        <v>167</v>
      </c>
      <c r="BX4" s="94">
        <f t="shared" si="3"/>
        <v>178</v>
      </c>
      <c r="BY4" s="94">
        <f t="shared" si="3"/>
        <v>186</v>
      </c>
      <c r="BZ4" s="94">
        <f t="shared" si="3"/>
        <v>190</v>
      </c>
      <c r="CA4" s="94">
        <f t="shared" si="3"/>
        <v>191</v>
      </c>
      <c r="CB4" s="94">
        <f t="shared" si="3"/>
        <v>202</v>
      </c>
      <c r="CC4" s="94">
        <f t="shared" si="3"/>
        <v>207</v>
      </c>
      <c r="CD4" s="94">
        <f t="shared" si="3"/>
        <v>223</v>
      </c>
      <c r="CE4" s="94">
        <f t="shared" si="3"/>
        <v>231</v>
      </c>
      <c r="CF4" s="94">
        <f t="shared" si="3"/>
        <v>233</v>
      </c>
      <c r="CG4" s="22">
        <f t="shared" si="3"/>
        <v>246</v>
      </c>
      <c r="CH4" s="20">
        <f t="shared" ref="CH4" si="4">CG4+CH3</f>
        <v>254</v>
      </c>
      <c r="CI4" s="24">
        <f t="shared" ref="CI4" si="5">CH4+CI3</f>
        <v>254</v>
      </c>
      <c r="CJ4" s="24">
        <f t="shared" ref="CJ4" si="6">CI4+CJ3</f>
        <v>262</v>
      </c>
      <c r="CK4" s="24">
        <f t="shared" ref="CK4" si="7">CJ4+CK3</f>
        <v>269</v>
      </c>
      <c r="CL4" s="24">
        <f t="shared" ref="CL4" si="8">CK4+CL3</f>
        <v>275</v>
      </c>
      <c r="CM4" s="24">
        <f t="shared" ref="CM4" si="9">CL4+CM3</f>
        <v>279</v>
      </c>
      <c r="CN4" s="24">
        <f t="shared" ref="CN4" si="10">CM4+CN3</f>
        <v>298</v>
      </c>
      <c r="CO4" s="24">
        <f t="shared" ref="CO4" si="11">CN4+CO3</f>
        <v>315</v>
      </c>
      <c r="CP4" s="24">
        <f t="shared" ref="CP4" si="12">CO4+CP3</f>
        <v>323</v>
      </c>
      <c r="CQ4" s="24">
        <f t="shared" ref="CQ4" si="13">CP4+CQ3</f>
        <v>366</v>
      </c>
      <c r="CR4" s="24">
        <f t="shared" ref="CR4" si="14">CQ4+CR3</f>
        <v>395</v>
      </c>
      <c r="CS4" s="13">
        <f t="shared" ref="CS4" si="15">CR4+CS3</f>
        <v>453</v>
      </c>
      <c r="CT4" s="20">
        <f t="shared" ref="CT4" si="16">CS4+CT3</f>
        <v>457</v>
      </c>
      <c r="CU4" s="24">
        <f t="shared" ref="CU4" si="17">CT4+CU3</f>
        <v>458</v>
      </c>
      <c r="CV4" s="24">
        <f t="shared" ref="CV4" si="18">CU4+CV3</f>
        <v>458</v>
      </c>
      <c r="CW4" s="24">
        <f t="shared" ref="CW4" si="19">CV4+CW3</f>
        <v>460</v>
      </c>
      <c r="CX4" s="24">
        <f t="shared" ref="CX4" si="20">CW4+CX3</f>
        <v>460</v>
      </c>
      <c r="CY4" s="24">
        <f t="shared" ref="CY4" si="21">CX4+CY3</f>
        <v>460</v>
      </c>
      <c r="CZ4" s="24">
        <f t="shared" ref="CZ4" si="22">CY4+CZ3</f>
        <v>460</v>
      </c>
      <c r="DA4" s="24">
        <f t="shared" ref="DA4" si="23">CZ4+DA3</f>
        <v>462</v>
      </c>
      <c r="DB4" s="24">
        <f t="shared" ref="DB4" si="24">DA4+DB3</f>
        <v>462</v>
      </c>
      <c r="DC4" s="24">
        <f t="shared" ref="DC4" si="25">DB4+DC3</f>
        <v>463</v>
      </c>
      <c r="DD4" s="24">
        <f t="shared" ref="DD4" si="26">DC4+DD3</f>
        <v>463</v>
      </c>
      <c r="DE4" s="13">
        <f t="shared" ref="DE4" si="27">DD4+DE3</f>
        <v>464</v>
      </c>
      <c r="DF4" s="20">
        <f t="shared" ref="DF4" si="28">DE4+DF3</f>
        <v>464</v>
      </c>
      <c r="DG4" s="24">
        <f t="shared" ref="DG4" si="29">DF4+DG3</f>
        <v>464</v>
      </c>
      <c r="DH4" s="24">
        <f t="shared" ref="DH4" si="30">DG4+DH3</f>
        <v>464</v>
      </c>
      <c r="DI4" s="24">
        <f t="shared" ref="DI4" si="31">DH4+DI3</f>
        <v>464</v>
      </c>
      <c r="DJ4" s="24">
        <f t="shared" ref="DJ4" si="32">DI4+DJ3</f>
        <v>464</v>
      </c>
      <c r="DK4" s="24">
        <f t="shared" ref="DK4" si="33">DJ4+DK3</f>
        <v>464</v>
      </c>
      <c r="DL4" s="24">
        <f t="shared" ref="DL4" si="34">DK4+DL3</f>
        <v>464</v>
      </c>
      <c r="DM4" s="24">
        <f t="shared" ref="DM4" si="35">DL4+DM3</f>
        <v>464</v>
      </c>
      <c r="DN4" s="24">
        <f t="shared" ref="DN4" si="36">DM4+DN3</f>
        <v>464</v>
      </c>
      <c r="DO4" s="24">
        <f t="shared" ref="DO4" si="37">DN4+DO3</f>
        <v>464</v>
      </c>
      <c r="DP4" s="24">
        <f t="shared" ref="DP4" si="38">DO4+DP3</f>
        <v>464</v>
      </c>
      <c r="DQ4" s="13">
        <f t="shared" ref="DQ4" si="39">DP4+DQ3</f>
        <v>464</v>
      </c>
      <c r="DR4" s="20">
        <f>DQ4+DR3</f>
        <v>464</v>
      </c>
      <c r="DS4" s="24">
        <f t="shared" ref="DS4" si="40">DR4+DS3</f>
        <v>464</v>
      </c>
      <c r="DT4" s="24">
        <f t="shared" ref="DT4" si="41">DS4+DT3</f>
        <v>464</v>
      </c>
      <c r="DU4" s="24">
        <f t="shared" ref="DU4" si="42">DT4+DU3</f>
        <v>464</v>
      </c>
      <c r="DV4" s="24">
        <f t="shared" ref="DV4" si="43">DU4+DV3</f>
        <v>464</v>
      </c>
      <c r="DW4" s="24">
        <f t="shared" ref="DW4" si="44">DV4+DW3</f>
        <v>464</v>
      </c>
      <c r="DX4" s="24">
        <f t="shared" ref="DX4" si="45">DW4+DX3</f>
        <v>464</v>
      </c>
      <c r="DY4" s="24">
        <f t="shared" ref="DY4" si="46">DX4+DY3</f>
        <v>464</v>
      </c>
      <c r="DZ4" s="24">
        <f t="shared" ref="DZ4" si="47">DY4+DZ3</f>
        <v>464</v>
      </c>
      <c r="EA4" s="24">
        <f t="shared" ref="EA4" si="48">DZ4+EA3</f>
        <v>464</v>
      </c>
      <c r="EB4" s="24">
        <f t="shared" ref="EB4" si="49">EA4+EB3</f>
        <v>464</v>
      </c>
      <c r="EC4" s="13">
        <f t="shared" ref="EC4" si="50">EB4+EC3</f>
        <v>464</v>
      </c>
    </row>
    <row r="5" spans="1:133">
      <c r="A5" s="525"/>
      <c r="B5" s="107"/>
      <c r="C5" s="93"/>
      <c r="D5" s="93"/>
      <c r="E5" s="93"/>
      <c r="F5" s="93"/>
      <c r="G5" s="93"/>
      <c r="H5" s="93"/>
      <c r="I5" s="93"/>
      <c r="J5" s="93"/>
      <c r="K5" s="93"/>
      <c r="L5" s="93"/>
      <c r="M5" s="93"/>
      <c r="N5" s="88"/>
      <c r="O5" s="93"/>
      <c r="P5" s="93"/>
      <c r="Q5" s="93"/>
      <c r="R5" s="93"/>
      <c r="S5" s="93"/>
      <c r="T5" s="93"/>
      <c r="U5" s="93"/>
      <c r="V5" s="93"/>
      <c r="W5" s="93"/>
      <c r="X5" s="93"/>
      <c r="Y5" s="31"/>
      <c r="Z5" s="88"/>
      <c r="AA5" s="93"/>
      <c r="AB5" s="93"/>
      <c r="AC5" s="93"/>
      <c r="AD5" s="93"/>
      <c r="AE5" s="93"/>
      <c r="AF5" s="93"/>
      <c r="AG5" s="93"/>
      <c r="AH5" s="93"/>
      <c r="AI5" s="93"/>
      <c r="AJ5" s="93"/>
      <c r="AK5" s="31"/>
      <c r="AL5" s="88"/>
      <c r="AM5" s="93"/>
      <c r="AN5" s="93"/>
      <c r="AO5" s="93"/>
      <c r="AP5" s="93"/>
      <c r="AQ5" s="93"/>
      <c r="AR5" s="93"/>
      <c r="AS5" s="93"/>
      <c r="AT5" s="93"/>
      <c r="AU5" s="93"/>
      <c r="AV5" s="93"/>
      <c r="AW5" s="31"/>
      <c r="AX5" s="88"/>
      <c r="AY5" s="93"/>
      <c r="AZ5" s="93"/>
      <c r="BA5" s="93"/>
      <c r="BB5" s="93"/>
      <c r="BC5" s="93"/>
      <c r="BD5" s="93"/>
      <c r="BE5" s="93"/>
      <c r="BF5" s="93"/>
      <c r="BG5" s="93"/>
      <c r="BH5" s="93"/>
      <c r="BI5" s="93"/>
      <c r="BJ5" s="88"/>
      <c r="BK5" s="93"/>
      <c r="BL5" s="93"/>
      <c r="BM5" s="93"/>
      <c r="BN5" s="93"/>
      <c r="BO5" s="93"/>
      <c r="BP5" s="93"/>
      <c r="BQ5" s="93"/>
      <c r="BR5" s="93"/>
      <c r="BS5" s="93"/>
      <c r="BT5" s="93"/>
      <c r="BU5" s="93"/>
      <c r="BV5" s="88"/>
      <c r="BW5" s="93"/>
      <c r="BX5" s="93"/>
      <c r="BY5" s="93"/>
      <c r="BZ5" s="93"/>
      <c r="CA5" s="93"/>
      <c r="CB5" s="93"/>
      <c r="CC5" s="93"/>
      <c r="CD5" s="93"/>
      <c r="CE5" s="93"/>
      <c r="CF5" s="93"/>
      <c r="CG5" s="31"/>
      <c r="CH5" s="88"/>
      <c r="CI5" s="93"/>
      <c r="CJ5" s="93"/>
      <c r="CK5" s="93"/>
      <c r="CL5" s="93"/>
      <c r="CM5" s="93"/>
      <c r="CN5" s="93"/>
      <c r="CO5" s="93"/>
      <c r="CP5" s="93"/>
      <c r="CQ5" s="93"/>
      <c r="CR5" s="93"/>
      <c r="CS5" s="31"/>
      <c r="CT5" s="88"/>
      <c r="CU5" s="93"/>
      <c r="CV5" s="93"/>
      <c r="CW5" s="93"/>
      <c r="CX5" s="93"/>
      <c r="CY5" s="93"/>
      <c r="CZ5" s="93"/>
      <c r="DA5" s="93"/>
      <c r="DB5" s="93"/>
      <c r="DC5" s="93"/>
      <c r="DD5" s="93"/>
      <c r="DE5" s="31"/>
      <c r="DF5" s="88"/>
      <c r="DG5" s="93"/>
      <c r="DH5" s="93"/>
      <c r="DI5" s="93"/>
      <c r="DJ5" s="93"/>
      <c r="DK5" s="93"/>
      <c r="DL5" s="93"/>
      <c r="DM5" s="93"/>
      <c r="DN5" s="93"/>
      <c r="DO5" s="93"/>
      <c r="DP5" s="93"/>
      <c r="DQ5" s="31"/>
      <c r="DR5" s="88"/>
      <c r="DS5" s="93"/>
      <c r="DT5" s="93"/>
      <c r="DU5" s="93"/>
      <c r="DV5" s="93"/>
      <c r="DW5" s="93"/>
      <c r="DX5" s="93"/>
      <c r="DY5" s="93"/>
      <c r="DZ5" s="93"/>
      <c r="EA5" s="93"/>
      <c r="EB5" s="93"/>
      <c r="EC5" s="31"/>
    </row>
    <row r="6" spans="1:133">
      <c r="A6" s="6"/>
      <c r="B6" s="105"/>
      <c r="C6" s="94"/>
      <c r="D6" s="94"/>
      <c r="E6" s="94"/>
      <c r="F6" s="94"/>
      <c r="G6" s="94"/>
      <c r="H6" s="94"/>
      <c r="I6" s="94"/>
      <c r="J6" s="94"/>
      <c r="K6" s="94"/>
      <c r="L6" s="94"/>
      <c r="M6" s="94"/>
      <c r="N6" s="90"/>
      <c r="O6" s="94"/>
      <c r="P6" s="94"/>
      <c r="Q6" s="94"/>
      <c r="R6" s="94"/>
      <c r="S6" s="94"/>
      <c r="T6" s="94"/>
      <c r="U6" s="94"/>
      <c r="V6" s="94"/>
      <c r="W6" s="94"/>
      <c r="X6" s="94"/>
      <c r="Y6" s="28"/>
      <c r="Z6" s="90"/>
      <c r="AA6" s="94"/>
      <c r="AB6" s="94"/>
      <c r="AC6" s="94"/>
      <c r="AD6" s="94"/>
      <c r="AE6" s="94"/>
      <c r="AF6" s="94"/>
      <c r="AG6" s="94"/>
      <c r="AH6" s="94"/>
      <c r="AI6" s="94"/>
      <c r="AJ6" s="94"/>
      <c r="AK6" s="28"/>
      <c r="AL6" s="90"/>
      <c r="AM6" s="94"/>
      <c r="AN6" s="94"/>
      <c r="AO6" s="94"/>
      <c r="AP6" s="94"/>
      <c r="AQ6" s="94"/>
      <c r="AR6" s="94"/>
      <c r="AS6" s="94"/>
      <c r="AT6" s="94"/>
      <c r="AU6" s="94"/>
      <c r="AV6" s="94"/>
      <c r="AW6" s="28"/>
      <c r="AX6" s="90"/>
      <c r="AY6" s="94"/>
      <c r="AZ6" s="94"/>
      <c r="BA6" s="94"/>
      <c r="BB6" s="94"/>
      <c r="BC6" s="94"/>
      <c r="BD6" s="94"/>
      <c r="BE6" s="94"/>
      <c r="BF6" s="94"/>
      <c r="BG6" s="94"/>
      <c r="BH6" s="94"/>
      <c r="BI6" s="94"/>
      <c r="BJ6" s="90"/>
      <c r="BK6" s="94"/>
      <c r="BL6" s="94"/>
      <c r="BM6" s="94"/>
      <c r="BN6" s="94"/>
      <c r="BO6" s="94"/>
      <c r="BP6" s="94"/>
      <c r="BQ6" s="94"/>
      <c r="BR6" s="94"/>
      <c r="BS6" s="94"/>
      <c r="BT6" s="94"/>
      <c r="BU6" s="94"/>
      <c r="BV6" s="90"/>
      <c r="BW6" s="94"/>
      <c r="BX6" s="94"/>
      <c r="BY6" s="94"/>
      <c r="BZ6" s="94"/>
      <c r="CA6" s="94"/>
      <c r="CB6" s="94"/>
      <c r="CC6" s="94"/>
      <c r="CD6" s="94"/>
      <c r="CE6" s="94"/>
      <c r="CF6" s="94"/>
      <c r="CG6" s="28"/>
      <c r="CH6" s="90"/>
      <c r="CI6" s="94"/>
      <c r="CJ6" s="94"/>
      <c r="CK6" s="94"/>
      <c r="CL6" s="94"/>
      <c r="CM6" s="94"/>
      <c r="CN6" s="94"/>
      <c r="CO6" s="94"/>
      <c r="CP6" s="94"/>
      <c r="CQ6" s="94"/>
      <c r="CR6" s="94"/>
      <c r="CS6" s="28"/>
      <c r="CT6" s="90"/>
      <c r="CU6" s="94"/>
      <c r="CV6" s="94"/>
      <c r="CW6" s="94"/>
      <c r="CX6" s="94"/>
      <c r="CY6" s="94"/>
      <c r="CZ6" s="94"/>
      <c r="DA6" s="94"/>
      <c r="DB6" s="94"/>
      <c r="DC6" s="94"/>
      <c r="DD6" s="94"/>
      <c r="DE6" s="28"/>
      <c r="DF6" s="90"/>
      <c r="DG6" s="94"/>
      <c r="DH6" s="94"/>
      <c r="DI6" s="94"/>
      <c r="DJ6" s="94"/>
      <c r="DK6" s="94"/>
      <c r="DL6" s="94"/>
      <c r="DM6" s="94"/>
      <c r="DN6" s="94"/>
      <c r="DO6" s="94"/>
      <c r="DP6" s="94"/>
      <c r="DQ6" s="28"/>
      <c r="DR6" s="90"/>
      <c r="DS6" s="94"/>
      <c r="DT6" s="94"/>
      <c r="DU6" s="94"/>
      <c r="DV6" s="94"/>
      <c r="DW6" s="94"/>
      <c r="DX6" s="94"/>
      <c r="DY6" s="94"/>
      <c r="DZ6" s="94"/>
      <c r="EA6" s="94"/>
      <c r="EB6" s="94"/>
      <c r="EC6" s="28"/>
    </row>
    <row r="7" spans="1:133">
      <c r="A7" s="7"/>
      <c r="B7" s="106"/>
      <c r="C7" s="95"/>
      <c r="D7" s="95"/>
      <c r="E7" s="95"/>
      <c r="F7" s="95"/>
      <c r="G7" s="95"/>
      <c r="H7" s="95"/>
      <c r="I7" s="95"/>
      <c r="J7" s="95"/>
      <c r="K7" s="95"/>
      <c r="L7" s="95"/>
      <c r="M7" s="95"/>
      <c r="N7" s="47"/>
      <c r="O7" s="95"/>
      <c r="P7" s="95"/>
      <c r="Q7" s="95"/>
      <c r="R7" s="95"/>
      <c r="S7" s="95"/>
      <c r="T7" s="95"/>
      <c r="U7" s="95"/>
      <c r="V7" s="95"/>
      <c r="W7" s="95"/>
      <c r="X7" s="95"/>
      <c r="Y7" s="29"/>
      <c r="Z7" s="47"/>
      <c r="AA7" s="95"/>
      <c r="AB7" s="95"/>
      <c r="AC7" s="95"/>
      <c r="AD7" s="95"/>
      <c r="AE7" s="95"/>
      <c r="AF7" s="95"/>
      <c r="AG7" s="95"/>
      <c r="AH7" s="95"/>
      <c r="AI7" s="95"/>
      <c r="AJ7" s="95"/>
      <c r="AK7" s="29"/>
      <c r="AL7" s="47"/>
      <c r="AM7" s="95"/>
      <c r="AN7" s="95"/>
      <c r="AO7" s="95"/>
      <c r="AP7" s="95"/>
      <c r="AQ7" s="95"/>
      <c r="AR7" s="95"/>
      <c r="AS7" s="95"/>
      <c r="AT7" s="95"/>
      <c r="AU7" s="95"/>
      <c r="AV7" s="95"/>
      <c r="AW7" s="95"/>
      <c r="AX7" s="47"/>
      <c r="AY7" s="95"/>
      <c r="AZ7" s="95"/>
      <c r="BA7" s="95"/>
      <c r="BB7" s="95"/>
      <c r="BC7" s="95"/>
      <c r="BD7" s="95"/>
      <c r="BE7" s="95"/>
      <c r="BF7" s="95"/>
      <c r="BG7" s="95"/>
      <c r="BH7" s="95"/>
      <c r="BI7" s="95"/>
      <c r="BJ7" s="47"/>
      <c r="BK7" s="95"/>
      <c r="BL7" s="95"/>
      <c r="BM7" s="95"/>
      <c r="BN7" s="95"/>
      <c r="BO7" s="95"/>
      <c r="BP7" s="95"/>
      <c r="BQ7" s="95"/>
      <c r="BR7" s="95"/>
      <c r="BS7" s="95"/>
      <c r="BT7" s="95"/>
      <c r="BU7" s="95"/>
      <c r="BV7" s="47"/>
      <c r="BW7" s="95"/>
      <c r="BX7" s="95"/>
      <c r="BY7" s="95"/>
      <c r="BZ7" s="95"/>
      <c r="CA7" s="95"/>
      <c r="CB7" s="95"/>
      <c r="CC7" s="95"/>
      <c r="CD7" s="95"/>
      <c r="CE7" s="95"/>
      <c r="CF7" s="95"/>
      <c r="CG7" s="29"/>
      <c r="CH7" s="47"/>
      <c r="CI7" s="95"/>
      <c r="CJ7" s="95"/>
      <c r="CK7" s="95"/>
      <c r="CL7" s="95"/>
      <c r="CM7" s="95"/>
      <c r="CN7" s="95"/>
      <c r="CO7" s="95"/>
      <c r="CP7" s="95"/>
      <c r="CQ7" s="95"/>
      <c r="CR7" s="95"/>
      <c r="CS7" s="29"/>
      <c r="CT7" s="47"/>
      <c r="CU7" s="95"/>
      <c r="CV7" s="95"/>
      <c r="CW7" s="95"/>
      <c r="CX7" s="95"/>
      <c r="CY7" s="95"/>
      <c r="CZ7" s="95"/>
      <c r="DA7" s="95"/>
      <c r="DB7" s="95"/>
      <c r="DC7" s="95"/>
      <c r="DD7" s="95"/>
      <c r="DE7" s="29"/>
      <c r="DF7" s="47"/>
      <c r="DG7" s="95"/>
      <c r="DH7" s="95"/>
      <c r="DI7" s="95"/>
      <c r="DJ7" s="95"/>
      <c r="DK7" s="95"/>
      <c r="DL7" s="95"/>
      <c r="DM7" s="95"/>
      <c r="DN7" s="95"/>
      <c r="DO7" s="95"/>
      <c r="DP7" s="95"/>
      <c r="DQ7" s="29"/>
      <c r="DR7" s="47"/>
      <c r="DS7" s="95"/>
      <c r="DT7" s="95"/>
      <c r="DU7" s="95"/>
      <c r="DV7" s="95"/>
      <c r="DW7" s="95"/>
      <c r="DX7" s="95"/>
      <c r="DY7" s="95"/>
      <c r="DZ7" s="95"/>
      <c r="EA7" s="95"/>
      <c r="EB7" s="95"/>
      <c r="EC7" s="29"/>
    </row>
    <row r="8" spans="1:133">
      <c r="A8" s="38" t="s">
        <v>1307</v>
      </c>
      <c r="B8" s="96">
        <f>SUM(N8:BU8)</f>
        <v>237</v>
      </c>
      <c r="C8" s="108"/>
      <c r="D8" s="108"/>
      <c r="E8" s="108"/>
      <c r="F8" s="108"/>
      <c r="G8" s="108"/>
      <c r="H8" s="108"/>
      <c r="I8" s="108"/>
      <c r="J8" s="108"/>
      <c r="K8" s="108"/>
      <c r="L8" s="108"/>
      <c r="M8" s="108"/>
      <c r="N8" s="109">
        <f t="shared" ref="N8:AW8" si="51">N2-N3</f>
        <v>0</v>
      </c>
      <c r="O8" s="110">
        <f t="shared" si="51"/>
        <v>0</v>
      </c>
      <c r="P8" s="110">
        <f t="shared" si="51"/>
        <v>0</v>
      </c>
      <c r="Q8" s="110">
        <f t="shared" si="51"/>
        <v>0</v>
      </c>
      <c r="R8" s="110">
        <f t="shared" si="51"/>
        <v>0</v>
      </c>
      <c r="S8" s="110">
        <f t="shared" si="51"/>
        <v>0</v>
      </c>
      <c r="T8" s="110">
        <f t="shared" si="51"/>
        <v>0</v>
      </c>
      <c r="U8" s="110">
        <f t="shared" si="51"/>
        <v>0</v>
      </c>
      <c r="V8" s="110">
        <f t="shared" si="51"/>
        <v>0</v>
      </c>
      <c r="W8" s="110">
        <f t="shared" si="51"/>
        <v>0</v>
      </c>
      <c r="X8" s="110">
        <f t="shared" si="51"/>
        <v>9</v>
      </c>
      <c r="Y8" s="111">
        <f t="shared" si="51"/>
        <v>9</v>
      </c>
      <c r="Z8" s="110">
        <f t="shared" si="51"/>
        <v>8</v>
      </c>
      <c r="AA8" s="110">
        <f t="shared" si="51"/>
        <v>2</v>
      </c>
      <c r="AB8" s="112">
        <f t="shared" si="51"/>
        <v>5</v>
      </c>
      <c r="AC8" s="112">
        <f t="shared" si="51"/>
        <v>1</v>
      </c>
      <c r="AD8" s="112">
        <f t="shared" si="51"/>
        <v>5</v>
      </c>
      <c r="AE8" s="112">
        <f t="shared" si="51"/>
        <v>7</v>
      </c>
      <c r="AF8" s="112">
        <f t="shared" si="51"/>
        <v>9</v>
      </c>
      <c r="AG8" s="112">
        <f t="shared" si="51"/>
        <v>1</v>
      </c>
      <c r="AH8" s="112">
        <f t="shared" si="51"/>
        <v>1</v>
      </c>
      <c r="AI8" s="112">
        <f t="shared" si="51"/>
        <v>8</v>
      </c>
      <c r="AJ8" s="112">
        <f t="shared" si="51"/>
        <v>7</v>
      </c>
      <c r="AK8" s="112">
        <f t="shared" si="51"/>
        <v>6</v>
      </c>
      <c r="AL8" s="99">
        <f t="shared" si="51"/>
        <v>5</v>
      </c>
      <c r="AM8" s="110">
        <f t="shared" si="51"/>
        <v>1</v>
      </c>
      <c r="AN8" s="110">
        <f t="shared" si="51"/>
        <v>11</v>
      </c>
      <c r="AO8" s="110">
        <f t="shared" si="51"/>
        <v>5</v>
      </c>
      <c r="AP8" s="110">
        <f t="shared" si="51"/>
        <v>4</v>
      </c>
      <c r="AQ8" s="110">
        <f t="shared" si="51"/>
        <v>6</v>
      </c>
      <c r="AR8" s="110">
        <f t="shared" si="51"/>
        <v>12</v>
      </c>
      <c r="AS8" s="110">
        <f t="shared" si="51"/>
        <v>3</v>
      </c>
      <c r="AT8" s="110">
        <f t="shared" si="51"/>
        <v>4</v>
      </c>
      <c r="AU8" s="110">
        <f t="shared" si="51"/>
        <v>2</v>
      </c>
      <c r="AV8" s="110">
        <f t="shared" si="51"/>
        <v>5</v>
      </c>
      <c r="AW8" s="111">
        <f t="shared" si="51"/>
        <v>4</v>
      </c>
      <c r="AX8" s="99">
        <f t="shared" ref="AX8:BH8" si="52">AX2-AX3</f>
        <v>0</v>
      </c>
      <c r="AY8" s="110">
        <f t="shared" si="52"/>
        <v>1</v>
      </c>
      <c r="AZ8" s="110">
        <f t="shared" si="52"/>
        <v>3</v>
      </c>
      <c r="BA8" s="110">
        <f t="shared" si="52"/>
        <v>4</v>
      </c>
      <c r="BB8" s="110">
        <f t="shared" si="52"/>
        <v>1</v>
      </c>
      <c r="BC8" s="110">
        <f t="shared" si="52"/>
        <v>2</v>
      </c>
      <c r="BD8" s="110">
        <f t="shared" si="52"/>
        <v>2</v>
      </c>
      <c r="BE8" s="110">
        <f t="shared" si="52"/>
        <v>7</v>
      </c>
      <c r="BF8" s="110">
        <f t="shared" si="52"/>
        <v>16</v>
      </c>
      <c r="BG8" s="110">
        <f t="shared" si="52"/>
        <v>1</v>
      </c>
      <c r="BH8" s="110">
        <f t="shared" si="52"/>
        <v>0</v>
      </c>
      <c r="BI8" s="110">
        <f t="shared" ref="BI8:BU8" si="53">BI2-BI3</f>
        <v>7</v>
      </c>
      <c r="BJ8" s="109">
        <f t="shared" si="53"/>
        <v>26</v>
      </c>
      <c r="BK8" s="110">
        <f t="shared" si="53"/>
        <v>3</v>
      </c>
      <c r="BL8" s="110">
        <f t="shared" si="53"/>
        <v>1</v>
      </c>
      <c r="BM8" s="110">
        <f t="shared" si="53"/>
        <v>8</v>
      </c>
      <c r="BN8" s="110">
        <f t="shared" si="53"/>
        <v>5</v>
      </c>
      <c r="BO8" s="110">
        <f t="shared" si="53"/>
        <v>5</v>
      </c>
      <c r="BP8" s="110">
        <f t="shared" si="53"/>
        <v>1</v>
      </c>
      <c r="BQ8" s="110">
        <f t="shared" si="53"/>
        <v>0</v>
      </c>
      <c r="BR8" s="110">
        <f t="shared" si="53"/>
        <v>1</v>
      </c>
      <c r="BS8" s="110">
        <f t="shared" si="53"/>
        <v>2</v>
      </c>
      <c r="BT8" s="110">
        <f t="shared" si="53"/>
        <v>1</v>
      </c>
      <c r="BU8" s="110">
        <f t="shared" si="53"/>
        <v>0</v>
      </c>
      <c r="BV8" s="109">
        <f t="shared" ref="BV8:DE8" si="54">BV2-BV3</f>
        <v>0</v>
      </c>
      <c r="BW8" s="110">
        <f t="shared" si="54"/>
        <v>1</v>
      </c>
      <c r="BX8" s="110">
        <f t="shared" si="54"/>
        <v>13</v>
      </c>
      <c r="BY8" s="110">
        <f t="shared" si="54"/>
        <v>0</v>
      </c>
      <c r="BZ8" s="110">
        <f t="shared" si="54"/>
        <v>1</v>
      </c>
      <c r="CA8" s="110">
        <f t="shared" si="54"/>
        <v>5</v>
      </c>
      <c r="CB8" s="110">
        <f t="shared" si="54"/>
        <v>2</v>
      </c>
      <c r="CC8" s="110">
        <f t="shared" si="54"/>
        <v>0</v>
      </c>
      <c r="CD8" s="110">
        <f t="shared" si="54"/>
        <v>0</v>
      </c>
      <c r="CE8" s="110">
        <f t="shared" si="54"/>
        <v>5</v>
      </c>
      <c r="CF8" s="110">
        <f t="shared" si="54"/>
        <v>14</v>
      </c>
      <c r="CG8" s="111">
        <f t="shared" si="54"/>
        <v>9</v>
      </c>
      <c r="CH8" s="109">
        <f t="shared" si="54"/>
        <v>2</v>
      </c>
      <c r="CI8" s="110">
        <f t="shared" si="54"/>
        <v>3</v>
      </c>
      <c r="CJ8" s="110">
        <f t="shared" si="54"/>
        <v>7</v>
      </c>
      <c r="CK8" s="110">
        <f t="shared" si="54"/>
        <v>0</v>
      </c>
      <c r="CL8" s="110">
        <f t="shared" si="54"/>
        <v>0</v>
      </c>
      <c r="CM8" s="110">
        <f t="shared" si="54"/>
        <v>0</v>
      </c>
      <c r="CN8" s="110">
        <f t="shared" si="54"/>
        <v>2</v>
      </c>
      <c r="CO8" s="110">
        <f t="shared" si="54"/>
        <v>1</v>
      </c>
      <c r="CP8" s="110">
        <f t="shared" si="54"/>
        <v>0</v>
      </c>
      <c r="CQ8" s="110">
        <f t="shared" si="54"/>
        <v>2</v>
      </c>
      <c r="CR8" s="110">
        <f t="shared" si="54"/>
        <v>0</v>
      </c>
      <c r="CS8" s="111">
        <f t="shared" si="54"/>
        <v>5</v>
      </c>
      <c r="CT8" s="109">
        <f t="shared" si="54"/>
        <v>14</v>
      </c>
      <c r="CU8" s="110">
        <f t="shared" si="54"/>
        <v>0</v>
      </c>
      <c r="CV8" s="110">
        <f t="shared" si="54"/>
        <v>0</v>
      </c>
      <c r="CW8" s="110">
        <f t="shared" si="54"/>
        <v>0</v>
      </c>
      <c r="CX8" s="110">
        <f t="shared" si="54"/>
        <v>1</v>
      </c>
      <c r="CY8" s="110">
        <f t="shared" si="54"/>
        <v>0</v>
      </c>
      <c r="CZ8" s="110">
        <f t="shared" si="54"/>
        <v>0</v>
      </c>
      <c r="DA8" s="110">
        <f t="shared" si="54"/>
        <v>0</v>
      </c>
      <c r="DB8" s="110">
        <f t="shared" si="54"/>
        <v>0</v>
      </c>
      <c r="DC8" s="110">
        <f t="shared" si="54"/>
        <v>0</v>
      </c>
      <c r="DD8" s="110">
        <f t="shared" si="54"/>
        <v>0</v>
      </c>
      <c r="DE8" s="111">
        <f t="shared" si="54"/>
        <v>0</v>
      </c>
      <c r="DF8" s="109">
        <f t="shared" ref="DF8:DQ8" si="55">DF2-DF3</f>
        <v>0</v>
      </c>
      <c r="DG8" s="110">
        <f t="shared" si="55"/>
        <v>0</v>
      </c>
      <c r="DH8" s="110">
        <f t="shared" si="55"/>
        <v>0</v>
      </c>
      <c r="DI8" s="110">
        <f t="shared" si="55"/>
        <v>0</v>
      </c>
      <c r="DJ8" s="110">
        <f t="shared" si="55"/>
        <v>0</v>
      </c>
      <c r="DK8" s="110">
        <f t="shared" si="55"/>
        <v>0</v>
      </c>
      <c r="DL8" s="110">
        <f t="shared" si="55"/>
        <v>0</v>
      </c>
      <c r="DM8" s="110">
        <f t="shared" si="55"/>
        <v>0</v>
      </c>
      <c r="DN8" s="110">
        <f t="shared" si="55"/>
        <v>0</v>
      </c>
      <c r="DO8" s="110">
        <f t="shared" si="55"/>
        <v>0</v>
      </c>
      <c r="DP8" s="110">
        <f t="shared" si="55"/>
        <v>0</v>
      </c>
      <c r="DQ8" s="111">
        <f t="shared" si="55"/>
        <v>0</v>
      </c>
      <c r="DR8" s="109">
        <f t="shared" ref="DR8:EC8" si="56">DR2-DR3</f>
        <v>0</v>
      </c>
      <c r="DS8" s="110">
        <f t="shared" si="56"/>
        <v>0</v>
      </c>
      <c r="DT8" s="110">
        <f t="shared" si="56"/>
        <v>0</v>
      </c>
      <c r="DU8" s="110">
        <f t="shared" si="56"/>
        <v>0</v>
      </c>
      <c r="DV8" s="110">
        <f t="shared" si="56"/>
        <v>0</v>
      </c>
      <c r="DW8" s="110">
        <f t="shared" si="56"/>
        <v>0</v>
      </c>
      <c r="DX8" s="110">
        <f t="shared" si="56"/>
        <v>0</v>
      </c>
      <c r="DY8" s="110">
        <f t="shared" si="56"/>
        <v>0</v>
      </c>
      <c r="DZ8" s="110">
        <f t="shared" si="56"/>
        <v>0</v>
      </c>
      <c r="EA8" s="110">
        <f t="shared" si="56"/>
        <v>0</v>
      </c>
      <c r="EB8" s="110">
        <f t="shared" si="56"/>
        <v>0</v>
      </c>
      <c r="EC8" s="111">
        <f t="shared" si="56"/>
        <v>0</v>
      </c>
    </row>
    <row r="9" spans="1:133">
      <c r="B9" s="32"/>
      <c r="AC9" s="25"/>
      <c r="AD9" s="25"/>
      <c r="AE9" s="25"/>
      <c r="AF9" s="25"/>
      <c r="AG9" s="25"/>
      <c r="AH9" s="25"/>
      <c r="AI9" s="25"/>
      <c r="AJ9" s="25"/>
      <c r="AK9" s="25"/>
      <c r="AL9" s="25"/>
      <c r="AM9" s="25"/>
      <c r="AN9" s="25"/>
    </row>
    <row r="10" spans="1:133">
      <c r="A10" t="s">
        <v>399</v>
      </c>
      <c r="AC10" s="25"/>
    </row>
    <row r="11" spans="1:133" ht="28.15" customHeight="1">
      <c r="A11" s="66" t="s">
        <v>409</v>
      </c>
      <c r="B11" s="127" t="s">
        <v>1490</v>
      </c>
      <c r="N11" s="74">
        <v>-30</v>
      </c>
      <c r="O11" s="67">
        <v>-29</v>
      </c>
      <c r="P11" s="67">
        <v>-28</v>
      </c>
      <c r="Q11" s="67">
        <v>-27</v>
      </c>
      <c r="R11" s="67">
        <v>-26</v>
      </c>
      <c r="S11" s="67">
        <v>-25</v>
      </c>
      <c r="T11" s="67">
        <v>-24</v>
      </c>
      <c r="U11" s="67">
        <v>-23</v>
      </c>
      <c r="V11" s="67">
        <v>-22</v>
      </c>
      <c r="W11" s="67">
        <v>-21</v>
      </c>
      <c r="X11" s="67">
        <v>-20</v>
      </c>
      <c r="Y11" s="67">
        <v>-19</v>
      </c>
      <c r="Z11" s="67">
        <v>-18</v>
      </c>
      <c r="AA11" s="67">
        <v>-17</v>
      </c>
      <c r="AB11" s="67">
        <v>-16</v>
      </c>
      <c r="AC11" s="67">
        <v>-15</v>
      </c>
      <c r="AD11" s="67">
        <v>-14</v>
      </c>
      <c r="AE11" s="67">
        <v>-13</v>
      </c>
      <c r="AF11" s="67">
        <v>-12</v>
      </c>
      <c r="AG11" s="67">
        <v>-11</v>
      </c>
      <c r="AH11" s="67">
        <v>-10</v>
      </c>
      <c r="AI11" s="67">
        <v>-9</v>
      </c>
      <c r="AJ11" s="67">
        <v>-8</v>
      </c>
      <c r="AK11" s="67">
        <v>-7</v>
      </c>
      <c r="AL11" s="67">
        <v>-6</v>
      </c>
      <c r="AM11" s="67">
        <v>-5</v>
      </c>
      <c r="AN11" s="67">
        <v>-4</v>
      </c>
      <c r="AO11" s="67">
        <v>-3</v>
      </c>
      <c r="AP11" s="67">
        <v>-2</v>
      </c>
      <c r="AQ11" s="67">
        <v>-1</v>
      </c>
      <c r="AR11" s="67">
        <v>0</v>
      </c>
      <c r="AS11" s="67">
        <v>1</v>
      </c>
      <c r="AT11" s="67">
        <v>2</v>
      </c>
      <c r="AU11" s="67">
        <v>3</v>
      </c>
      <c r="AV11" s="67">
        <v>4</v>
      </c>
      <c r="AW11" s="67">
        <v>5</v>
      </c>
      <c r="AX11" s="67">
        <v>6</v>
      </c>
      <c r="AY11" s="67">
        <v>7</v>
      </c>
      <c r="AZ11" s="67">
        <v>8</v>
      </c>
      <c r="BA11" s="67">
        <v>9</v>
      </c>
      <c r="BB11" s="67">
        <v>10</v>
      </c>
      <c r="BC11" s="67">
        <v>11</v>
      </c>
      <c r="BD11" s="67">
        <v>12</v>
      </c>
      <c r="BE11" s="67">
        <v>13</v>
      </c>
      <c r="BF11" s="67">
        <v>14</v>
      </c>
      <c r="BG11" s="67">
        <v>15</v>
      </c>
      <c r="BH11" s="67">
        <v>16</v>
      </c>
      <c r="BI11" s="67">
        <v>17</v>
      </c>
      <c r="BJ11" s="67">
        <v>18</v>
      </c>
      <c r="BK11" s="67">
        <v>19</v>
      </c>
      <c r="BL11" s="67">
        <v>20</v>
      </c>
      <c r="BM11" s="67">
        <v>21</v>
      </c>
      <c r="BN11" s="67">
        <v>22</v>
      </c>
      <c r="BO11" s="67">
        <v>23</v>
      </c>
      <c r="BP11" s="67">
        <v>24</v>
      </c>
      <c r="BQ11" s="67">
        <v>25</v>
      </c>
      <c r="BR11" s="67">
        <v>26</v>
      </c>
      <c r="BS11" s="67">
        <v>27</v>
      </c>
      <c r="BT11" s="67">
        <v>28</v>
      </c>
      <c r="BU11" s="67">
        <v>29</v>
      </c>
      <c r="BV11" s="67">
        <v>30</v>
      </c>
      <c r="BW11" s="67">
        <v>31</v>
      </c>
      <c r="BX11" s="67">
        <v>32</v>
      </c>
      <c r="BY11" s="67">
        <v>33</v>
      </c>
      <c r="BZ11" s="11">
        <v>34</v>
      </c>
      <c r="CA11" s="66" t="s">
        <v>704</v>
      </c>
    </row>
    <row r="12" spans="1:133">
      <c r="A12" s="33" t="s">
        <v>1306</v>
      </c>
      <c r="B12" s="13" t="s">
        <v>1491</v>
      </c>
      <c r="N12" s="20">
        <v>32</v>
      </c>
      <c r="O12" s="24"/>
      <c r="P12" s="24"/>
      <c r="Q12" s="24"/>
      <c r="R12" s="24"/>
      <c r="S12" s="24"/>
      <c r="T12" s="24"/>
      <c r="U12" s="24"/>
      <c r="V12" s="24"/>
      <c r="W12" s="24">
        <v>1</v>
      </c>
      <c r="X12" s="24"/>
      <c r="Y12" s="24"/>
      <c r="Z12" s="24">
        <v>2</v>
      </c>
      <c r="AA12" s="24">
        <v>2</v>
      </c>
      <c r="AB12" s="24"/>
      <c r="AC12" s="24">
        <v>2</v>
      </c>
      <c r="AD12" s="24"/>
      <c r="AE12" s="24">
        <v>2</v>
      </c>
      <c r="AF12" s="24">
        <v>1</v>
      </c>
      <c r="AG12" s="24">
        <v>3</v>
      </c>
      <c r="AH12" s="24">
        <v>3</v>
      </c>
      <c r="AI12" s="24">
        <v>5</v>
      </c>
      <c r="AJ12" s="24">
        <v>4</v>
      </c>
      <c r="AK12" s="24">
        <v>15</v>
      </c>
      <c r="AL12" s="24">
        <v>7</v>
      </c>
      <c r="AM12" s="24">
        <v>7</v>
      </c>
      <c r="AN12" s="24">
        <v>9</v>
      </c>
      <c r="AO12" s="24">
        <v>10</v>
      </c>
      <c r="AP12" s="24">
        <v>34</v>
      </c>
      <c r="AQ12" s="24">
        <v>97</v>
      </c>
      <c r="AR12" s="24">
        <v>119</v>
      </c>
      <c r="AS12" s="24"/>
      <c r="AT12" s="24">
        <v>5</v>
      </c>
      <c r="AU12" s="24">
        <v>2</v>
      </c>
      <c r="AV12" s="24">
        <v>4</v>
      </c>
      <c r="AW12" s="24">
        <v>4</v>
      </c>
      <c r="AX12" s="24">
        <v>4</v>
      </c>
      <c r="AY12" s="24">
        <v>4</v>
      </c>
      <c r="AZ12" s="24">
        <v>4</v>
      </c>
      <c r="BA12" s="24">
        <v>4</v>
      </c>
      <c r="BB12" s="24">
        <v>10</v>
      </c>
      <c r="BC12" s="24">
        <v>4</v>
      </c>
      <c r="BD12" s="24">
        <v>7</v>
      </c>
      <c r="BE12" s="24">
        <v>2</v>
      </c>
      <c r="BF12" s="24">
        <v>8</v>
      </c>
      <c r="BG12" s="24">
        <v>5</v>
      </c>
      <c r="BH12" s="24">
        <v>3</v>
      </c>
      <c r="BI12" s="24">
        <v>3</v>
      </c>
      <c r="BJ12" s="24">
        <v>2</v>
      </c>
      <c r="BK12" s="24">
        <v>4</v>
      </c>
      <c r="BL12" s="24">
        <v>2</v>
      </c>
      <c r="BM12" s="24">
        <v>1</v>
      </c>
      <c r="BN12" s="24"/>
      <c r="BO12" s="24">
        <v>3</v>
      </c>
      <c r="BP12" s="24">
        <v>1</v>
      </c>
      <c r="BQ12" s="24">
        <v>2</v>
      </c>
      <c r="BR12" s="24"/>
      <c r="BS12" s="24"/>
      <c r="BT12" s="24"/>
      <c r="BU12" s="24">
        <v>5</v>
      </c>
      <c r="BV12" s="24">
        <v>3</v>
      </c>
      <c r="BW12" s="24"/>
      <c r="BX12" s="24">
        <v>1</v>
      </c>
      <c r="BY12" s="24">
        <v>1</v>
      </c>
      <c r="BZ12" s="13">
        <v>1</v>
      </c>
      <c r="CA12" s="7">
        <f>SUM(AS12:BZ12)</f>
        <v>99</v>
      </c>
    </row>
    <row r="13" spans="1:133">
      <c r="A13" s="129" t="s">
        <v>410</v>
      </c>
      <c r="B13" s="130">
        <f>SUM(N12:BV12)</f>
        <v>451</v>
      </c>
      <c r="BV13" s="99" t="s">
        <v>702</v>
      </c>
      <c r="BW13" s="108"/>
      <c r="BX13" s="108"/>
      <c r="BY13" s="108"/>
      <c r="BZ13" s="190">
        <f>(AS11*AS12+AT11*AT12+AU11*AU12+AV11*AV12+AW11*AW12+AX11*AX12+AY11*AY12+AZ11*AZ12+BA11*BA12+BB11*BB12+BC11*BC12+BD11*BD12+BE11*BE12+BF11*BF12+BG11*BG12+BH11*BH12+BI11*BI12+BJ11*BJ12+BK11*BK12+BL11*BL12+BM11*BM12+BN11*BN12+BO11*BO12+BP11*BP12+BQ11*BQ12+BR11*BR12+BS11*BS12+BT11*BT12+BU11*BU12)/CA12</f>
        <v>11.848484848484848</v>
      </c>
      <c r="CA13" s="13" t="s">
        <v>703</v>
      </c>
    </row>
    <row r="14" spans="1:133">
      <c r="B14" s="32"/>
      <c r="C14" s="32"/>
      <c r="D14" s="32"/>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2"/>
      <c r="BK14" s="32"/>
      <c r="BL14" s="32"/>
      <c r="BM14" s="32"/>
      <c r="BN14" s="32"/>
      <c r="BO14" s="32"/>
      <c r="BP14" s="32"/>
      <c r="BQ14" s="32"/>
      <c r="BR14" s="32"/>
    </row>
    <row r="15" spans="1:133">
      <c r="A15" s="10"/>
      <c r="B15" s="166" t="s">
        <v>1599</v>
      </c>
      <c r="C15" s="110"/>
      <c r="D15" s="110"/>
      <c r="E15" s="110"/>
      <c r="F15" s="110"/>
      <c r="G15" s="110"/>
      <c r="H15" s="110"/>
      <c r="I15" s="110"/>
      <c r="J15" s="110"/>
      <c r="K15" s="110"/>
      <c r="L15" s="110"/>
      <c r="M15" s="110"/>
      <c r="N15" s="166" t="s">
        <v>1601</v>
      </c>
      <c r="O15" s="167" t="s">
        <v>724</v>
      </c>
      <c r="P15" s="168" t="s">
        <v>725</v>
      </c>
      <c r="Q15" s="168" t="s">
        <v>726</v>
      </c>
      <c r="R15" s="169" t="s">
        <v>727</v>
      </c>
      <c r="S15" s="167" t="s">
        <v>590</v>
      </c>
      <c r="T15" s="168" t="s">
        <v>591</v>
      </c>
      <c r="U15" s="168" t="s">
        <v>592</v>
      </c>
      <c r="V15" s="169" t="s">
        <v>593</v>
      </c>
      <c r="W15" s="167" t="s">
        <v>606</v>
      </c>
      <c r="X15" s="168" t="s">
        <v>607</v>
      </c>
      <c r="Y15" s="168" t="s">
        <v>608</v>
      </c>
      <c r="Z15" s="169" t="s">
        <v>609</v>
      </c>
      <c r="AA15" s="167" t="s">
        <v>451</v>
      </c>
      <c r="AB15" s="168" t="s">
        <v>452</v>
      </c>
      <c r="AC15" s="168" t="s">
        <v>453</v>
      </c>
      <c r="AD15" s="169" t="s">
        <v>454</v>
      </c>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row>
    <row r="16" spans="1:133">
      <c r="A16" s="6" t="s">
        <v>1079</v>
      </c>
      <c r="B16" s="32">
        <f>SUM(N16:N16)</f>
        <v>23</v>
      </c>
      <c r="C16" s="32"/>
      <c r="D16" s="32"/>
      <c r="E16" s="32"/>
      <c r="F16" s="32"/>
      <c r="G16" s="32"/>
      <c r="H16" s="32"/>
      <c r="I16" s="32"/>
      <c r="J16" s="32"/>
      <c r="K16" s="32"/>
      <c r="L16" s="32"/>
      <c r="M16" s="32"/>
      <c r="N16" s="33">
        <f>SUM(W2:Y2)</f>
        <v>23</v>
      </c>
      <c r="O16" s="90">
        <f>SUM(Z2:AB2)</f>
        <v>24</v>
      </c>
      <c r="P16" s="94">
        <f>SUM(AC2:AE2)</f>
        <v>16</v>
      </c>
      <c r="Q16" s="94">
        <f>SUM(AF2:AH2)</f>
        <v>17</v>
      </c>
      <c r="R16" s="28">
        <f>SUM(AI2:AK2)</f>
        <v>25</v>
      </c>
      <c r="S16" s="90">
        <f>SUM(AL2:AN2)</f>
        <v>22</v>
      </c>
      <c r="T16" s="94">
        <f>SUM(AO2:AQ2)</f>
        <v>19</v>
      </c>
      <c r="U16" s="94">
        <f>SUM(AR2:AT2)</f>
        <v>26</v>
      </c>
      <c r="V16" s="28">
        <f>SUM(AU2:AW2)</f>
        <v>14</v>
      </c>
      <c r="W16" s="90">
        <f>SUM(AX2:AZ2)</f>
        <v>8</v>
      </c>
      <c r="X16" s="94">
        <f>SUM(BA2:BC2)</f>
        <v>9</v>
      </c>
      <c r="Y16" s="94">
        <f>SUM(BD2:BF2)</f>
        <v>42</v>
      </c>
      <c r="Z16" s="28">
        <f>SUM(BG2:BI2)</f>
        <v>21</v>
      </c>
      <c r="AA16" s="90">
        <f>SUM(BJ2:BL2)</f>
        <v>42</v>
      </c>
      <c r="AB16" s="94">
        <f>SUM(BM2:BO2)</f>
        <v>36</v>
      </c>
      <c r="AC16" s="94">
        <f>SUM(BP2:BR2)</f>
        <v>26</v>
      </c>
      <c r="AD16" s="28">
        <f>SUM(BS2:BU2)</f>
        <v>23</v>
      </c>
      <c r="AE16" s="32"/>
      <c r="AF16" s="32"/>
      <c r="AG16" s="32"/>
      <c r="AH16" s="32"/>
      <c r="AI16" s="32"/>
      <c r="AJ16" s="32"/>
      <c r="AK16" s="32"/>
      <c r="AL16" s="32"/>
      <c r="AM16" s="32"/>
      <c r="AN16" s="32"/>
      <c r="AO16" s="32"/>
      <c r="AP16" s="32"/>
      <c r="AQ16" s="32"/>
      <c r="AR16" s="32"/>
      <c r="AS16" s="32"/>
      <c r="AT16" s="32"/>
      <c r="AU16" s="32"/>
      <c r="AV16" s="32"/>
      <c r="AW16" s="32"/>
      <c r="AX16" s="32"/>
      <c r="AY16" s="32"/>
      <c r="AZ16" s="32"/>
      <c r="BA16" s="32"/>
      <c r="BB16" s="32"/>
      <c r="BC16" s="32"/>
      <c r="BD16" s="32"/>
      <c r="BE16" s="32"/>
      <c r="BF16" s="32"/>
      <c r="BG16" s="32"/>
    </row>
    <row r="17" spans="1:183">
      <c r="A17" s="33" t="s">
        <v>1306</v>
      </c>
      <c r="B17" s="32">
        <f>SUM(N17:N17)</f>
        <v>5</v>
      </c>
      <c r="C17" s="32"/>
      <c r="D17" s="32"/>
      <c r="E17" s="32"/>
      <c r="F17" s="32"/>
      <c r="G17" s="32"/>
      <c r="H17" s="32"/>
      <c r="I17" s="32"/>
      <c r="J17" s="32"/>
      <c r="K17" s="32"/>
      <c r="L17" s="32"/>
      <c r="M17" s="32"/>
      <c r="N17" s="33">
        <f>SUM(W3:Y3)</f>
        <v>5</v>
      </c>
      <c r="O17" s="90">
        <f>SUM(Z3:AB3)</f>
        <v>9</v>
      </c>
      <c r="P17" s="94">
        <f>SUM(AC3:AE3)</f>
        <v>3</v>
      </c>
      <c r="Q17" s="94">
        <f>SUM(AF3:AH3)</f>
        <v>6</v>
      </c>
      <c r="R17" s="28">
        <f>SUM(AI3:AK3)</f>
        <v>4</v>
      </c>
      <c r="S17" s="90">
        <f>SUM(AL3:AN3)</f>
        <v>5</v>
      </c>
      <c r="T17" s="94">
        <f>SUM(AO3:AQ3)</f>
        <v>4</v>
      </c>
      <c r="U17" s="94">
        <f>SUM(AR3:AT3)</f>
        <v>7</v>
      </c>
      <c r="V17" s="28">
        <f>SUM(AU3:AW3)</f>
        <v>3</v>
      </c>
      <c r="W17" s="90">
        <f>SUM(AX3:AZ3)</f>
        <v>4</v>
      </c>
      <c r="X17" s="94">
        <f>SUM(BA3:BC3)</f>
        <v>2</v>
      </c>
      <c r="Y17" s="94">
        <f>SUM(BD3:BF3)</f>
        <v>17</v>
      </c>
      <c r="Z17" s="28">
        <f>SUM(BG3:BI3)</f>
        <v>13</v>
      </c>
      <c r="AA17" s="90">
        <f>SUM(BJ3:BL3)</f>
        <v>12</v>
      </c>
      <c r="AB17" s="94">
        <f>SUM(BM3:BO3)</f>
        <v>18</v>
      </c>
      <c r="AC17" s="94">
        <f>SUM(BP3:BR3)</f>
        <v>24</v>
      </c>
      <c r="AD17" s="28">
        <f>SUM(BS3:BU3)</f>
        <v>20</v>
      </c>
      <c r="AE17" s="32"/>
      <c r="AF17" s="32"/>
      <c r="AG17" s="32"/>
      <c r="AH17" s="32"/>
      <c r="AI17" s="32"/>
      <c r="AJ17" s="32"/>
      <c r="AK17" s="32"/>
      <c r="AL17" s="32"/>
      <c r="AM17" s="32"/>
      <c r="AN17" s="32"/>
      <c r="AO17" s="32"/>
      <c r="AP17" s="32"/>
      <c r="AQ17" s="32"/>
      <c r="AR17" s="32"/>
      <c r="AS17" s="32"/>
      <c r="AT17" s="32"/>
      <c r="AU17" s="32"/>
      <c r="AV17" s="32"/>
      <c r="AW17" s="32"/>
      <c r="AX17" s="32"/>
      <c r="AY17" s="32"/>
      <c r="AZ17" s="32"/>
      <c r="BA17" s="32"/>
      <c r="BB17" s="32"/>
      <c r="BC17" s="32"/>
      <c r="BD17" s="32"/>
      <c r="BE17" s="32"/>
      <c r="BF17" s="32"/>
      <c r="BG17" s="32"/>
    </row>
    <row r="18" spans="1:183">
      <c r="A18" s="9" t="s">
        <v>1307</v>
      </c>
      <c r="B18" s="32">
        <f>SUM(N18:N18)</f>
        <v>18</v>
      </c>
      <c r="N18" s="33">
        <f t="shared" ref="N18:V18" si="57">+N16-N17</f>
        <v>18</v>
      </c>
      <c r="O18" s="90">
        <f t="shared" si="57"/>
        <v>15</v>
      </c>
      <c r="P18" s="94">
        <f t="shared" si="57"/>
        <v>13</v>
      </c>
      <c r="Q18" s="94">
        <f t="shared" si="57"/>
        <v>11</v>
      </c>
      <c r="R18" s="28">
        <f t="shared" si="57"/>
        <v>21</v>
      </c>
      <c r="S18" s="90">
        <f t="shared" si="57"/>
        <v>17</v>
      </c>
      <c r="T18" s="94">
        <f t="shared" si="57"/>
        <v>15</v>
      </c>
      <c r="U18" s="94">
        <f t="shared" si="57"/>
        <v>19</v>
      </c>
      <c r="V18" s="28">
        <f t="shared" si="57"/>
        <v>11</v>
      </c>
      <c r="W18" s="90">
        <f t="shared" ref="W18:AD18" si="58">+W16-W17</f>
        <v>4</v>
      </c>
      <c r="X18" s="94">
        <f t="shared" si="58"/>
        <v>7</v>
      </c>
      <c r="Y18" s="94">
        <f t="shared" si="58"/>
        <v>25</v>
      </c>
      <c r="Z18" s="28">
        <f t="shared" si="58"/>
        <v>8</v>
      </c>
      <c r="AA18" s="90">
        <f t="shared" si="58"/>
        <v>30</v>
      </c>
      <c r="AB18" s="94">
        <f t="shared" si="58"/>
        <v>18</v>
      </c>
      <c r="AC18" s="94">
        <f t="shared" si="58"/>
        <v>2</v>
      </c>
      <c r="AD18" s="28">
        <f t="shared" si="58"/>
        <v>3</v>
      </c>
    </row>
    <row r="19" spans="1:183">
      <c r="A19" s="38" t="s">
        <v>1600</v>
      </c>
      <c r="B19" s="166" t="s">
        <v>571</v>
      </c>
      <c r="C19" s="32"/>
      <c r="D19" s="32"/>
      <c r="E19" s="32"/>
      <c r="F19" s="32"/>
      <c r="G19" s="32"/>
      <c r="H19" s="32"/>
      <c r="I19" s="32"/>
      <c r="J19" s="32"/>
      <c r="K19" s="32"/>
      <c r="L19" s="32"/>
      <c r="M19" s="32"/>
      <c r="N19" s="318">
        <f t="shared" ref="N19:V19" si="59">+N17/N16</f>
        <v>0.21739130434782608</v>
      </c>
      <c r="O19" s="165">
        <f t="shared" si="59"/>
        <v>0.375</v>
      </c>
      <c r="P19" s="161">
        <f t="shared" si="59"/>
        <v>0.1875</v>
      </c>
      <c r="Q19" s="161">
        <f t="shared" si="59"/>
        <v>0.35294117647058826</v>
      </c>
      <c r="R19" s="144">
        <f t="shared" si="59"/>
        <v>0.16</v>
      </c>
      <c r="S19" s="165">
        <f t="shared" si="59"/>
        <v>0.22727272727272727</v>
      </c>
      <c r="T19" s="161">
        <f t="shared" si="59"/>
        <v>0.21052631578947367</v>
      </c>
      <c r="U19" s="161">
        <f t="shared" si="59"/>
        <v>0.26923076923076922</v>
      </c>
      <c r="V19" s="144">
        <f t="shared" si="59"/>
        <v>0.21428571428571427</v>
      </c>
      <c r="W19" s="165">
        <f t="shared" ref="W19:AD19" si="60">+W17/W16</f>
        <v>0.5</v>
      </c>
      <c r="X19" s="161">
        <f t="shared" si="60"/>
        <v>0.22222222222222221</v>
      </c>
      <c r="Y19" s="161">
        <f t="shared" si="60"/>
        <v>0.40476190476190477</v>
      </c>
      <c r="Z19" s="144">
        <f t="shared" si="60"/>
        <v>0.61904761904761907</v>
      </c>
      <c r="AA19" s="165">
        <f t="shared" si="60"/>
        <v>0.2857142857142857</v>
      </c>
      <c r="AB19" s="161">
        <f t="shared" si="60"/>
        <v>0.5</v>
      </c>
      <c r="AC19" s="161">
        <f t="shared" si="60"/>
        <v>0.92307692307692313</v>
      </c>
      <c r="AD19" s="144">
        <f t="shared" si="60"/>
        <v>0.86956521739130432</v>
      </c>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row>
    <row r="26" spans="1:183">
      <c r="A26" s="191" t="s">
        <v>3949</v>
      </c>
    </row>
    <row r="27" spans="1:183">
      <c r="A27" s="99" t="s">
        <v>849</v>
      </c>
      <c r="B27" s="35" t="s">
        <v>1050</v>
      </c>
      <c r="C27" s="108"/>
      <c r="D27" s="108"/>
      <c r="E27" s="108"/>
      <c r="F27" s="108"/>
      <c r="G27" s="108"/>
      <c r="H27" s="108"/>
      <c r="I27" s="108"/>
      <c r="J27" s="108"/>
      <c r="K27" s="108"/>
      <c r="L27" s="108"/>
      <c r="M27" s="108"/>
      <c r="N27" s="919">
        <f t="shared" ref="N27:BU27" si="61">N1</f>
        <v>38718</v>
      </c>
      <c r="O27" s="919">
        <f t="shared" si="61"/>
        <v>38749</v>
      </c>
      <c r="P27" s="919">
        <f t="shared" si="61"/>
        <v>38777</v>
      </c>
      <c r="Q27" s="919">
        <f t="shared" si="61"/>
        <v>38808</v>
      </c>
      <c r="R27" s="919">
        <f t="shared" si="61"/>
        <v>38838</v>
      </c>
      <c r="S27" s="919">
        <f t="shared" si="61"/>
        <v>38869</v>
      </c>
      <c r="T27" s="919">
        <f t="shared" si="61"/>
        <v>38899</v>
      </c>
      <c r="U27" s="919">
        <f t="shared" si="61"/>
        <v>38930</v>
      </c>
      <c r="V27" s="919">
        <f t="shared" si="61"/>
        <v>38961</v>
      </c>
      <c r="W27" s="919">
        <f t="shared" si="61"/>
        <v>38991</v>
      </c>
      <c r="X27" s="919">
        <f t="shared" si="61"/>
        <v>39022</v>
      </c>
      <c r="Y27" s="919">
        <f t="shared" si="61"/>
        <v>39052</v>
      </c>
      <c r="Z27" s="919">
        <f t="shared" si="61"/>
        <v>39083</v>
      </c>
      <c r="AA27" s="919">
        <f t="shared" si="61"/>
        <v>39114</v>
      </c>
      <c r="AB27" s="919">
        <f t="shared" si="61"/>
        <v>39142</v>
      </c>
      <c r="AC27" s="919">
        <f t="shared" si="61"/>
        <v>39173</v>
      </c>
      <c r="AD27" s="919">
        <f t="shared" si="61"/>
        <v>39203</v>
      </c>
      <c r="AE27" s="919">
        <f t="shared" si="61"/>
        <v>39234</v>
      </c>
      <c r="AF27" s="919">
        <f t="shared" si="61"/>
        <v>39264</v>
      </c>
      <c r="AG27" s="919">
        <f t="shared" si="61"/>
        <v>39295</v>
      </c>
      <c r="AH27" s="919">
        <f t="shared" si="61"/>
        <v>39326</v>
      </c>
      <c r="AI27" s="919">
        <f t="shared" si="61"/>
        <v>39356</v>
      </c>
      <c r="AJ27" s="919">
        <f t="shared" si="61"/>
        <v>39387</v>
      </c>
      <c r="AK27" s="919">
        <f t="shared" si="61"/>
        <v>39417</v>
      </c>
      <c r="AL27" s="919">
        <f t="shared" si="61"/>
        <v>39448</v>
      </c>
      <c r="AM27" s="919">
        <f t="shared" si="61"/>
        <v>39479</v>
      </c>
      <c r="AN27" s="919">
        <f t="shared" si="61"/>
        <v>39508</v>
      </c>
      <c r="AO27" s="919">
        <f t="shared" si="61"/>
        <v>39539</v>
      </c>
      <c r="AP27" s="919">
        <f t="shared" si="61"/>
        <v>39569</v>
      </c>
      <c r="AQ27" s="919">
        <f t="shared" si="61"/>
        <v>39600</v>
      </c>
      <c r="AR27" s="919">
        <f t="shared" si="61"/>
        <v>39630</v>
      </c>
      <c r="AS27" s="919">
        <f t="shared" si="61"/>
        <v>39661</v>
      </c>
      <c r="AT27" s="919">
        <f t="shared" si="61"/>
        <v>39692</v>
      </c>
      <c r="AU27" s="919">
        <f t="shared" si="61"/>
        <v>39722</v>
      </c>
      <c r="AV27" s="919">
        <f t="shared" si="61"/>
        <v>39753</v>
      </c>
      <c r="AW27" s="919">
        <f t="shared" si="61"/>
        <v>39783</v>
      </c>
      <c r="AX27" s="918">
        <f t="shared" si="61"/>
        <v>39814</v>
      </c>
      <c r="AY27" s="919">
        <f t="shared" si="61"/>
        <v>39845</v>
      </c>
      <c r="AZ27" s="919">
        <f t="shared" si="61"/>
        <v>39873</v>
      </c>
      <c r="BA27" s="919">
        <f t="shared" si="61"/>
        <v>39904</v>
      </c>
      <c r="BB27" s="919">
        <f t="shared" si="61"/>
        <v>39934</v>
      </c>
      <c r="BC27" s="919">
        <f t="shared" si="61"/>
        <v>39965</v>
      </c>
      <c r="BD27" s="919">
        <f t="shared" si="61"/>
        <v>39995</v>
      </c>
      <c r="BE27" s="919">
        <f t="shared" si="61"/>
        <v>40026</v>
      </c>
      <c r="BF27" s="919">
        <f t="shared" si="61"/>
        <v>40057</v>
      </c>
      <c r="BG27" s="919">
        <f t="shared" si="61"/>
        <v>40087</v>
      </c>
      <c r="BH27" s="919">
        <f t="shared" si="61"/>
        <v>40118</v>
      </c>
      <c r="BI27" s="920">
        <f t="shared" si="61"/>
        <v>40148</v>
      </c>
      <c r="BJ27" s="919">
        <f t="shared" si="61"/>
        <v>40179</v>
      </c>
      <c r="BK27" s="919">
        <f t="shared" si="61"/>
        <v>40210</v>
      </c>
      <c r="BL27" s="919">
        <f t="shared" si="61"/>
        <v>40238</v>
      </c>
      <c r="BM27" s="919">
        <f t="shared" si="61"/>
        <v>40269</v>
      </c>
      <c r="BN27" s="919">
        <f t="shared" si="61"/>
        <v>40299</v>
      </c>
      <c r="BO27" s="919">
        <f t="shared" si="61"/>
        <v>40330</v>
      </c>
      <c r="BP27" s="919">
        <f t="shared" si="61"/>
        <v>40360</v>
      </c>
      <c r="BQ27" s="919">
        <f t="shared" si="61"/>
        <v>40391</v>
      </c>
      <c r="BR27" s="919">
        <f t="shared" si="61"/>
        <v>40422</v>
      </c>
      <c r="BS27" s="919">
        <f t="shared" si="61"/>
        <v>40452</v>
      </c>
      <c r="BT27" s="919">
        <f t="shared" si="61"/>
        <v>40483</v>
      </c>
      <c r="BU27" s="920">
        <f t="shared" si="61"/>
        <v>40513</v>
      </c>
      <c r="BV27" s="919">
        <f t="shared" ref="BV27:CS27" si="62">BV1</f>
        <v>40544</v>
      </c>
      <c r="BW27" s="919">
        <f t="shared" si="62"/>
        <v>40575</v>
      </c>
      <c r="BX27" s="919">
        <f t="shared" si="62"/>
        <v>40603</v>
      </c>
      <c r="BY27" s="919">
        <f t="shared" si="62"/>
        <v>40634</v>
      </c>
      <c r="BZ27" s="919">
        <f t="shared" si="62"/>
        <v>40664</v>
      </c>
      <c r="CA27" s="919">
        <f t="shared" si="62"/>
        <v>40695</v>
      </c>
      <c r="CB27" s="919">
        <f t="shared" si="62"/>
        <v>40725</v>
      </c>
      <c r="CC27" s="919">
        <f t="shared" si="62"/>
        <v>40756</v>
      </c>
      <c r="CD27" s="919">
        <f t="shared" si="62"/>
        <v>40787</v>
      </c>
      <c r="CE27" s="919">
        <f t="shared" si="62"/>
        <v>40817</v>
      </c>
      <c r="CF27" s="919">
        <f t="shared" si="62"/>
        <v>40848</v>
      </c>
      <c r="CG27" s="919">
        <f t="shared" si="62"/>
        <v>40878</v>
      </c>
      <c r="CH27" s="918">
        <f t="shared" si="62"/>
        <v>40909</v>
      </c>
      <c r="CI27" s="919">
        <f t="shared" si="62"/>
        <v>40940</v>
      </c>
      <c r="CJ27" s="919">
        <f t="shared" si="62"/>
        <v>40969</v>
      </c>
      <c r="CK27" s="919">
        <f t="shared" si="62"/>
        <v>41000</v>
      </c>
      <c r="CL27" s="919">
        <f t="shared" si="62"/>
        <v>41030</v>
      </c>
      <c r="CM27" s="919">
        <f t="shared" si="62"/>
        <v>41061</v>
      </c>
      <c r="CN27" s="919">
        <f t="shared" si="62"/>
        <v>41091</v>
      </c>
      <c r="CO27" s="919">
        <f t="shared" si="62"/>
        <v>41122</v>
      </c>
      <c r="CP27" s="919">
        <f t="shared" si="62"/>
        <v>41153</v>
      </c>
      <c r="CQ27" s="919">
        <f t="shared" si="62"/>
        <v>41183</v>
      </c>
      <c r="CR27" s="919">
        <f t="shared" si="62"/>
        <v>41214</v>
      </c>
      <c r="CS27" s="920">
        <f t="shared" si="62"/>
        <v>41244</v>
      </c>
      <c r="CT27" s="918">
        <v>41275</v>
      </c>
      <c r="CU27" s="919">
        <v>41306</v>
      </c>
      <c r="CV27" s="919">
        <v>41334</v>
      </c>
      <c r="CW27" s="919">
        <v>41365</v>
      </c>
      <c r="CX27" s="919">
        <v>41395</v>
      </c>
      <c r="CY27" s="919">
        <v>41426</v>
      </c>
      <c r="CZ27" s="919">
        <v>41456</v>
      </c>
      <c r="DA27" s="919">
        <v>41487</v>
      </c>
      <c r="DB27" s="919">
        <v>41518</v>
      </c>
      <c r="DC27" s="919">
        <v>41548</v>
      </c>
      <c r="DD27" s="919">
        <v>41579</v>
      </c>
      <c r="DE27" s="920">
        <v>41609</v>
      </c>
      <c r="DF27" s="918">
        <v>41640</v>
      </c>
      <c r="DG27" s="919">
        <v>41671</v>
      </c>
      <c r="DH27" s="919">
        <v>41699</v>
      </c>
      <c r="DI27" s="919">
        <v>41730</v>
      </c>
      <c r="DJ27" s="919">
        <v>41760</v>
      </c>
      <c r="DK27" s="919">
        <v>41791</v>
      </c>
      <c r="DL27" s="919">
        <v>41821</v>
      </c>
      <c r="DM27" s="919">
        <v>41852</v>
      </c>
      <c r="DN27" s="919">
        <v>41883</v>
      </c>
      <c r="DO27" s="919">
        <v>41913</v>
      </c>
      <c r="DP27" s="919">
        <v>41944</v>
      </c>
      <c r="DQ27" s="920">
        <v>41974</v>
      </c>
      <c r="DR27" s="918">
        <v>42005</v>
      </c>
      <c r="DS27" s="919">
        <v>42036</v>
      </c>
      <c r="DT27" s="919">
        <v>42064</v>
      </c>
      <c r="DU27" s="919">
        <v>42095</v>
      </c>
      <c r="DV27" s="919">
        <v>42125</v>
      </c>
      <c r="DW27" s="919">
        <v>42156</v>
      </c>
      <c r="DX27" s="919">
        <v>42186</v>
      </c>
      <c r="DY27" s="919">
        <v>42217</v>
      </c>
      <c r="DZ27" s="919">
        <v>42248</v>
      </c>
      <c r="EA27" s="919">
        <v>42278</v>
      </c>
      <c r="EB27" s="919">
        <v>42309</v>
      </c>
      <c r="EC27" s="920">
        <v>42339</v>
      </c>
      <c r="ED27" s="797" t="s">
        <v>974</v>
      </c>
      <c r="EF27" s="166" t="s">
        <v>1601</v>
      </c>
      <c r="EG27" s="167" t="s">
        <v>724</v>
      </c>
      <c r="EH27" s="168" t="s">
        <v>725</v>
      </c>
      <c r="EI27" s="168" t="s">
        <v>726</v>
      </c>
      <c r="EJ27" s="169" t="s">
        <v>727</v>
      </c>
      <c r="EK27" s="167" t="s">
        <v>590</v>
      </c>
      <c r="EL27" s="168" t="s">
        <v>591</v>
      </c>
      <c r="EM27" s="168" t="s">
        <v>592</v>
      </c>
      <c r="EN27" s="169" t="s">
        <v>593</v>
      </c>
      <c r="EO27" s="167" t="s">
        <v>606</v>
      </c>
      <c r="EP27" s="168" t="s">
        <v>607</v>
      </c>
      <c r="EQ27" s="168" t="s">
        <v>608</v>
      </c>
      <c r="ER27" s="169" t="s">
        <v>609</v>
      </c>
      <c r="ES27" s="167" t="s">
        <v>451</v>
      </c>
      <c r="ET27" s="168" t="s">
        <v>452</v>
      </c>
      <c r="EU27" s="168" t="s">
        <v>453</v>
      </c>
      <c r="EV27" s="169" t="s">
        <v>454</v>
      </c>
      <c r="EW27" s="522" t="s">
        <v>2152</v>
      </c>
      <c r="EX27" s="523" t="s">
        <v>2153</v>
      </c>
      <c r="EY27" s="523" t="s">
        <v>2154</v>
      </c>
      <c r="EZ27" s="524" t="s">
        <v>2155</v>
      </c>
      <c r="FA27" s="522" t="s">
        <v>2848</v>
      </c>
      <c r="FB27" s="523" t="s">
        <v>2849</v>
      </c>
      <c r="FC27" s="523" t="s">
        <v>2850</v>
      </c>
      <c r="FD27" s="524" t="s">
        <v>2851</v>
      </c>
      <c r="FE27" s="522" t="s">
        <v>3951</v>
      </c>
      <c r="FF27" s="523" t="s">
        <v>3952</v>
      </c>
      <c r="FG27" s="523" t="s">
        <v>3953</v>
      </c>
      <c r="FH27" s="524" t="s">
        <v>3954</v>
      </c>
      <c r="FI27" s="522" t="s">
        <v>4096</v>
      </c>
      <c r="FJ27" s="523" t="s">
        <v>4097</v>
      </c>
      <c r="FK27" s="523" t="s">
        <v>4098</v>
      </c>
      <c r="FL27" s="524" t="s">
        <v>4099</v>
      </c>
      <c r="FM27" s="522" t="s">
        <v>4103</v>
      </c>
      <c r="FN27" s="523" t="s">
        <v>4104</v>
      </c>
      <c r="FO27" s="523" t="s">
        <v>4105</v>
      </c>
      <c r="FP27" s="524" t="s">
        <v>4106</v>
      </c>
      <c r="FR27" s="1093">
        <v>2006</v>
      </c>
      <c r="FS27" s="1094">
        <v>2007</v>
      </c>
      <c r="FT27" s="1094">
        <v>2008</v>
      </c>
      <c r="FU27" s="1094">
        <v>2009</v>
      </c>
      <c r="FV27" s="1094">
        <v>2010</v>
      </c>
      <c r="FW27" s="1094">
        <v>2011</v>
      </c>
      <c r="FX27" s="1094">
        <v>2012</v>
      </c>
      <c r="FY27" s="1094">
        <v>2013</v>
      </c>
      <c r="FZ27" s="1094">
        <v>2014</v>
      </c>
      <c r="GA27" s="1095">
        <v>2015</v>
      </c>
    </row>
    <row r="28" spans="1:183">
      <c r="A28" s="36" t="s">
        <v>625</v>
      </c>
      <c r="B28" s="260"/>
      <c r="C28" s="1">
        <v>0</v>
      </c>
      <c r="D28" s="1">
        <v>0</v>
      </c>
      <c r="E28" s="1">
        <v>0</v>
      </c>
      <c r="F28" s="1">
        <v>0</v>
      </c>
      <c r="G28" s="1">
        <v>0</v>
      </c>
      <c r="H28" s="1">
        <v>0</v>
      </c>
      <c r="I28" s="1">
        <v>0</v>
      </c>
      <c r="J28" s="1">
        <v>0</v>
      </c>
      <c r="K28" s="1">
        <v>0</v>
      </c>
      <c r="L28" s="1">
        <v>0</v>
      </c>
      <c r="M28" s="1">
        <v>0</v>
      </c>
      <c r="N28" s="155">
        <f t="shared" ref="N28:BH28" si="63">SUM(N29:N30)</f>
        <v>0</v>
      </c>
      <c r="O28" s="155">
        <f t="shared" si="63"/>
        <v>0</v>
      </c>
      <c r="P28" s="155">
        <f t="shared" si="63"/>
        <v>0</v>
      </c>
      <c r="Q28" s="155">
        <f t="shared" si="63"/>
        <v>0</v>
      </c>
      <c r="R28" s="155">
        <f t="shared" si="63"/>
        <v>0</v>
      </c>
      <c r="S28" s="155">
        <f t="shared" si="63"/>
        <v>0</v>
      </c>
      <c r="T28" s="155">
        <f t="shared" si="63"/>
        <v>0</v>
      </c>
      <c r="U28" s="155">
        <f t="shared" si="63"/>
        <v>0</v>
      </c>
      <c r="V28" s="155">
        <f t="shared" si="63"/>
        <v>0</v>
      </c>
      <c r="W28" s="155">
        <f t="shared" si="63"/>
        <v>1</v>
      </c>
      <c r="X28" s="155">
        <f t="shared" si="63"/>
        <v>6</v>
      </c>
      <c r="Y28" s="177">
        <f t="shared" si="63"/>
        <v>8</v>
      </c>
      <c r="Z28" s="120">
        <f t="shared" si="63"/>
        <v>4</v>
      </c>
      <c r="AA28" s="155">
        <f t="shared" si="63"/>
        <v>5</v>
      </c>
      <c r="AB28" s="155">
        <f t="shared" si="63"/>
        <v>4</v>
      </c>
      <c r="AC28" s="155">
        <f t="shared" si="63"/>
        <v>1</v>
      </c>
      <c r="AD28" s="155">
        <f t="shared" si="63"/>
        <v>4</v>
      </c>
      <c r="AE28" s="155">
        <f t="shared" si="63"/>
        <v>6</v>
      </c>
      <c r="AF28" s="155">
        <f t="shared" si="63"/>
        <v>10</v>
      </c>
      <c r="AG28" s="155">
        <f t="shared" si="63"/>
        <v>1</v>
      </c>
      <c r="AH28" s="155">
        <f t="shared" si="63"/>
        <v>4</v>
      </c>
      <c r="AI28" s="155">
        <f t="shared" si="63"/>
        <v>8</v>
      </c>
      <c r="AJ28" s="155">
        <f t="shared" si="63"/>
        <v>6</v>
      </c>
      <c r="AK28" s="177">
        <f t="shared" si="63"/>
        <v>6</v>
      </c>
      <c r="AL28" s="120">
        <f t="shared" si="63"/>
        <v>6</v>
      </c>
      <c r="AM28" s="155">
        <f t="shared" si="63"/>
        <v>2</v>
      </c>
      <c r="AN28" s="155">
        <f t="shared" si="63"/>
        <v>11</v>
      </c>
      <c r="AO28" s="155">
        <f t="shared" si="63"/>
        <v>5</v>
      </c>
      <c r="AP28" s="155">
        <f t="shared" si="63"/>
        <v>3</v>
      </c>
      <c r="AQ28" s="155">
        <f t="shared" si="63"/>
        <v>4</v>
      </c>
      <c r="AR28" s="155">
        <f t="shared" si="63"/>
        <v>3</v>
      </c>
      <c r="AS28" s="155">
        <f t="shared" si="63"/>
        <v>3</v>
      </c>
      <c r="AT28" s="155">
        <f t="shared" si="63"/>
        <v>3</v>
      </c>
      <c r="AU28" s="155">
        <f t="shared" si="63"/>
        <v>1</v>
      </c>
      <c r="AV28" s="155">
        <f t="shared" si="63"/>
        <v>4</v>
      </c>
      <c r="AW28" s="155">
        <f t="shared" si="63"/>
        <v>2</v>
      </c>
      <c r="AX28" s="120">
        <f t="shared" si="63"/>
        <v>0</v>
      </c>
      <c r="AY28" s="155">
        <f t="shared" si="63"/>
        <v>1</v>
      </c>
      <c r="AZ28" s="155">
        <f t="shared" si="63"/>
        <v>3</v>
      </c>
      <c r="BA28" s="155">
        <f t="shared" si="63"/>
        <v>4</v>
      </c>
      <c r="BB28" s="155">
        <f t="shared" si="63"/>
        <v>2</v>
      </c>
      <c r="BC28" s="155">
        <f t="shared" si="63"/>
        <v>1</v>
      </c>
      <c r="BD28" s="155">
        <f t="shared" si="63"/>
        <v>4</v>
      </c>
      <c r="BE28" s="155">
        <f t="shared" si="63"/>
        <v>2</v>
      </c>
      <c r="BF28" s="155">
        <f t="shared" si="63"/>
        <v>3</v>
      </c>
      <c r="BG28" s="155">
        <f t="shared" si="63"/>
        <v>5</v>
      </c>
      <c r="BH28" s="155">
        <f t="shared" si="63"/>
        <v>2</v>
      </c>
      <c r="BI28" s="155">
        <f>SUM(BI29:BI30)</f>
        <v>8</v>
      </c>
      <c r="BJ28" s="120">
        <f t="shared" ref="BJ28:BU28" si="64">SUM(BJ29:BJ30)</f>
        <v>6</v>
      </c>
      <c r="BK28" s="155">
        <f t="shared" si="64"/>
        <v>6</v>
      </c>
      <c r="BL28" s="155">
        <f t="shared" si="64"/>
        <v>0</v>
      </c>
      <c r="BM28" s="155">
        <f t="shared" si="64"/>
        <v>2</v>
      </c>
      <c r="BN28" s="155">
        <f t="shared" si="64"/>
        <v>1</v>
      </c>
      <c r="BO28" s="155">
        <f t="shared" si="64"/>
        <v>5</v>
      </c>
      <c r="BP28" s="155">
        <f t="shared" si="64"/>
        <v>2</v>
      </c>
      <c r="BQ28" s="155">
        <f t="shared" si="64"/>
        <v>3</v>
      </c>
      <c r="BR28" s="155">
        <f t="shared" si="64"/>
        <v>1</v>
      </c>
      <c r="BS28" s="155">
        <f t="shared" si="64"/>
        <v>2</v>
      </c>
      <c r="BT28" s="155">
        <f t="shared" si="64"/>
        <v>4</v>
      </c>
      <c r="BU28" s="177">
        <f t="shared" si="64"/>
        <v>5</v>
      </c>
      <c r="BV28" s="120">
        <f t="shared" ref="BV28:CS28" si="65">SUM(BV29:BV30)</f>
        <v>1</v>
      </c>
      <c r="BW28" s="155">
        <f t="shared" si="65"/>
        <v>4</v>
      </c>
      <c r="BX28" s="155">
        <f t="shared" si="65"/>
        <v>8</v>
      </c>
      <c r="BY28" s="155">
        <f t="shared" si="65"/>
        <v>7</v>
      </c>
      <c r="BZ28" s="155">
        <f t="shared" si="65"/>
        <v>4</v>
      </c>
      <c r="CA28" s="155">
        <f t="shared" si="65"/>
        <v>5</v>
      </c>
      <c r="CB28" s="155">
        <f t="shared" si="65"/>
        <v>12</v>
      </c>
      <c r="CC28" s="155">
        <f t="shared" si="65"/>
        <v>5</v>
      </c>
      <c r="CD28" s="155">
        <f t="shared" si="65"/>
        <v>15</v>
      </c>
      <c r="CE28" s="155">
        <f t="shared" si="65"/>
        <v>12</v>
      </c>
      <c r="CF28" s="155">
        <f t="shared" si="65"/>
        <v>14</v>
      </c>
      <c r="CG28" s="155">
        <f t="shared" si="65"/>
        <v>21</v>
      </c>
      <c r="CH28" s="120">
        <f t="shared" si="65"/>
        <v>9</v>
      </c>
      <c r="CI28" s="155">
        <f t="shared" si="65"/>
        <v>2</v>
      </c>
      <c r="CJ28" s="155">
        <f t="shared" si="65"/>
        <v>13</v>
      </c>
      <c r="CK28" s="155">
        <f t="shared" si="65"/>
        <v>5</v>
      </c>
      <c r="CL28" s="155">
        <f t="shared" si="65"/>
        <v>5</v>
      </c>
      <c r="CM28" s="155">
        <f t="shared" si="65"/>
        <v>4</v>
      </c>
      <c r="CN28" s="155">
        <f t="shared" si="65"/>
        <v>21</v>
      </c>
      <c r="CO28" s="155">
        <f t="shared" si="65"/>
        <v>16</v>
      </c>
      <c r="CP28" s="155">
        <f t="shared" si="65"/>
        <v>8</v>
      </c>
      <c r="CQ28" s="155">
        <f t="shared" si="65"/>
        <v>44</v>
      </c>
      <c r="CR28" s="155">
        <f t="shared" si="65"/>
        <v>29</v>
      </c>
      <c r="CS28" s="177">
        <f t="shared" si="65"/>
        <v>58</v>
      </c>
      <c r="CT28" s="120">
        <f t="shared" ref="CT28:DE28" si="66">SUM(CT29:CT30)</f>
        <v>4</v>
      </c>
      <c r="CU28" s="155">
        <f t="shared" si="66"/>
        <v>0</v>
      </c>
      <c r="CV28" s="155">
        <f t="shared" si="66"/>
        <v>0</v>
      </c>
      <c r="CW28" s="155">
        <f t="shared" si="66"/>
        <v>2</v>
      </c>
      <c r="CX28" s="155">
        <f t="shared" si="66"/>
        <v>1</v>
      </c>
      <c r="CY28" s="155">
        <f t="shared" si="66"/>
        <v>0</v>
      </c>
      <c r="CZ28" s="155">
        <f t="shared" si="66"/>
        <v>0</v>
      </c>
      <c r="DA28" s="155">
        <f t="shared" si="66"/>
        <v>2</v>
      </c>
      <c r="DB28" s="155">
        <f t="shared" si="66"/>
        <v>0</v>
      </c>
      <c r="DC28" s="155">
        <f t="shared" si="66"/>
        <v>1</v>
      </c>
      <c r="DD28" s="155">
        <f t="shared" si="66"/>
        <v>0</v>
      </c>
      <c r="DE28" s="177">
        <f t="shared" si="66"/>
        <v>1</v>
      </c>
      <c r="DF28" s="120">
        <f t="shared" ref="DF28:DQ28" si="67">SUM(DF29:DF30)</f>
        <v>0</v>
      </c>
      <c r="DG28" s="155">
        <f t="shared" si="67"/>
        <v>0</v>
      </c>
      <c r="DH28" s="155">
        <f t="shared" si="67"/>
        <v>0</v>
      </c>
      <c r="DI28" s="155">
        <f t="shared" si="67"/>
        <v>0</v>
      </c>
      <c r="DJ28" s="155">
        <f t="shared" si="67"/>
        <v>0</v>
      </c>
      <c r="DK28" s="155">
        <f t="shared" si="67"/>
        <v>0</v>
      </c>
      <c r="DL28" s="155">
        <f t="shared" si="67"/>
        <v>0</v>
      </c>
      <c r="DM28" s="155">
        <f t="shared" si="67"/>
        <v>0</v>
      </c>
      <c r="DN28" s="155">
        <f t="shared" si="67"/>
        <v>0</v>
      </c>
      <c r="DO28" s="155">
        <f t="shared" si="67"/>
        <v>0</v>
      </c>
      <c r="DP28" s="155">
        <f t="shared" si="67"/>
        <v>0</v>
      </c>
      <c r="DQ28" s="177">
        <f t="shared" si="67"/>
        <v>0</v>
      </c>
      <c r="DR28" s="120">
        <f t="shared" ref="DR28:EC28" si="68">SUM(DR29:DR30)</f>
        <v>0</v>
      </c>
      <c r="DS28" s="155">
        <f t="shared" si="68"/>
        <v>0</v>
      </c>
      <c r="DT28" s="155">
        <f t="shared" si="68"/>
        <v>0</v>
      </c>
      <c r="DU28" s="155">
        <f t="shared" si="68"/>
        <v>0</v>
      </c>
      <c r="DV28" s="155">
        <f t="shared" si="68"/>
        <v>0</v>
      </c>
      <c r="DW28" s="155">
        <f t="shared" si="68"/>
        <v>0</v>
      </c>
      <c r="DX28" s="155">
        <f t="shared" si="68"/>
        <v>0</v>
      </c>
      <c r="DY28" s="155">
        <f t="shared" si="68"/>
        <v>0</v>
      </c>
      <c r="DZ28" s="155">
        <f t="shared" si="68"/>
        <v>0</v>
      </c>
      <c r="EA28" s="155">
        <f t="shared" si="68"/>
        <v>0</v>
      </c>
      <c r="EB28" s="155">
        <f t="shared" si="68"/>
        <v>0</v>
      </c>
      <c r="EC28" s="177">
        <f t="shared" si="68"/>
        <v>0</v>
      </c>
      <c r="ED28" s="177">
        <f>+ED29+ED30</f>
        <v>526</v>
      </c>
      <c r="EE28" s="1"/>
      <c r="EF28" s="36">
        <f>+W28+X28+Y28</f>
        <v>15</v>
      </c>
      <c r="EG28" s="120">
        <f>+Z28+AA28+AB28</f>
        <v>13</v>
      </c>
      <c r="EH28" s="155">
        <f>+AC28+AD28+AE28</f>
        <v>11</v>
      </c>
      <c r="EI28" s="155">
        <f>+AF28+AG28+AH28</f>
        <v>15</v>
      </c>
      <c r="EJ28" s="177">
        <f>+AI28+AJ28+AK28</f>
        <v>20</v>
      </c>
      <c r="EK28" s="155">
        <f>+AL28+AM28+AN28</f>
        <v>19</v>
      </c>
      <c r="EL28" s="155">
        <f>+AO28+AP28+AQ28</f>
        <v>12</v>
      </c>
      <c r="EM28" s="155">
        <f>+AR28+AS28+AT28</f>
        <v>9</v>
      </c>
      <c r="EN28" s="177">
        <f>+AU28+AV28+AW28</f>
        <v>7</v>
      </c>
      <c r="EO28" s="155">
        <f>+AX28+AY28+AZ28</f>
        <v>4</v>
      </c>
      <c r="EP28" s="155">
        <f>+BA28+BB28+BC28</f>
        <v>7</v>
      </c>
      <c r="EQ28" s="155">
        <f>+BD28+BE28+BF28</f>
        <v>9</v>
      </c>
      <c r="ER28" s="177">
        <f t="shared" ref="ER28:ER40" si="69">+BG28+BH28+BU28</f>
        <v>12</v>
      </c>
      <c r="ES28" s="134">
        <f t="shared" ref="ES28:ES50" si="70">SUM(BJ28:BL28)</f>
        <v>12</v>
      </c>
      <c r="ET28" s="133">
        <f t="shared" ref="ET28:ET50" si="71">SUM(BM28:BO28)</f>
        <v>8</v>
      </c>
      <c r="EU28" s="133">
        <f>SUM(BP28:BR28)</f>
        <v>6</v>
      </c>
      <c r="EV28" s="138">
        <f t="shared" ref="EV28:EV50" si="72">SUM(BS28:BU28)</f>
        <v>11</v>
      </c>
      <c r="EW28" s="134">
        <f>SUM(BV28:BX28)</f>
        <v>13</v>
      </c>
      <c r="EX28" s="133">
        <f>SUM(BY28:CA28)</f>
        <v>16</v>
      </c>
      <c r="EY28" s="133">
        <f>SUM(CB28:CD28)</f>
        <v>32</v>
      </c>
      <c r="EZ28" s="138">
        <f>SUM(CE28:CG28)</f>
        <v>47</v>
      </c>
      <c r="FA28" s="134">
        <f>SUM(CH28:CJ28)</f>
        <v>24</v>
      </c>
      <c r="FB28" s="133">
        <f>SUM(CK28:CM28)</f>
        <v>14</v>
      </c>
      <c r="FC28" s="133">
        <f>SUM(CN28:CP28)</f>
        <v>45</v>
      </c>
      <c r="FD28" s="138">
        <f>SUM(CQ28:CS28)</f>
        <v>131</v>
      </c>
      <c r="FE28" s="134">
        <f t="shared" ref="FE28" si="73">SUM(CT28:CV28)</f>
        <v>4</v>
      </c>
      <c r="FF28" s="133">
        <f t="shared" ref="FF28" si="74">SUM(CW28:CY28)</f>
        <v>3</v>
      </c>
      <c r="FG28" s="133">
        <f t="shared" ref="FG28" si="75">SUM(CZ28:DB28)</f>
        <v>2</v>
      </c>
      <c r="FH28" s="138">
        <f t="shared" ref="FH28" si="76">SUM(DC28:DE28)</f>
        <v>2</v>
      </c>
      <c r="FI28" s="134">
        <f t="shared" ref="FI28:FI50" si="77">SUM(DF28:DH28)</f>
        <v>0</v>
      </c>
      <c r="FJ28" s="133">
        <f t="shared" ref="FJ28:FJ50" si="78">SUM(DI28:DK28)</f>
        <v>0</v>
      </c>
      <c r="FK28" s="133">
        <f t="shared" ref="FK28:FK50" si="79">SUM(DL28:DN28)</f>
        <v>0</v>
      </c>
      <c r="FL28" s="138">
        <f t="shared" ref="FL28:FL50" si="80">SUM(DO28:DQ28)</f>
        <v>0</v>
      </c>
      <c r="FM28" s="134">
        <f>SUM(DR28:DT28)</f>
        <v>0</v>
      </c>
      <c r="FN28" s="133">
        <f>SUM(DU28:DW28)</f>
        <v>0</v>
      </c>
      <c r="FO28" s="133">
        <f>SUM(DX28:DZ28)</f>
        <v>0</v>
      </c>
      <c r="FP28" s="138">
        <f>SUM(EA28:EC28)</f>
        <v>0</v>
      </c>
      <c r="FR28" s="120">
        <f t="shared" ref="FR28:FR49" si="81">SUM(EF28:EF28)</f>
        <v>15</v>
      </c>
      <c r="FS28" s="155">
        <f t="shared" ref="FS28:FS49" si="82">SUM(EG28:EJ28)</f>
        <v>59</v>
      </c>
      <c r="FT28" s="155">
        <f t="shared" ref="FT28:FT49" si="83">SUM(EK28:EN28)</f>
        <v>47</v>
      </c>
      <c r="FU28" s="155">
        <f t="shared" ref="FU28:FU49" si="84">SUM(EO28:ER28)</f>
        <v>32</v>
      </c>
      <c r="FV28" s="133">
        <f t="shared" ref="FV28:FV50" si="85">SUM(ES28:EV28)</f>
        <v>37</v>
      </c>
      <c r="FW28" s="133">
        <f>SUM(EW28:EZ28)</f>
        <v>108</v>
      </c>
      <c r="FX28" s="133">
        <f>SUM(FA28:FD28)</f>
        <v>214</v>
      </c>
      <c r="FY28" s="133">
        <f>SUM(FE28:FH28)</f>
        <v>11</v>
      </c>
      <c r="FZ28" s="133">
        <f t="shared" ref="FZ28:FZ50" si="86">SUM(FI28:FL28)</f>
        <v>0</v>
      </c>
      <c r="GA28" s="138">
        <f>SUM(FM28:FP28)</f>
        <v>0</v>
      </c>
    </row>
    <row r="29" spans="1:183">
      <c r="A29" s="46" t="s">
        <v>1176</v>
      </c>
      <c r="B29" s="261"/>
      <c r="C29">
        <v>0</v>
      </c>
      <c r="D29">
        <v>0</v>
      </c>
      <c r="E29">
        <v>0</v>
      </c>
      <c r="F29">
        <v>0</v>
      </c>
      <c r="G29">
        <v>0</v>
      </c>
      <c r="H29">
        <v>0</v>
      </c>
      <c r="I29">
        <v>0</v>
      </c>
      <c r="J29">
        <v>0</v>
      </c>
      <c r="K29">
        <v>0</v>
      </c>
      <c r="L29">
        <v>0</v>
      </c>
      <c r="M29">
        <v>0</v>
      </c>
      <c r="N29" s="22">
        <v>0</v>
      </c>
      <c r="O29" s="22">
        <v>0</v>
      </c>
      <c r="P29" s="22">
        <v>0</v>
      </c>
      <c r="Q29" s="22">
        <v>0</v>
      </c>
      <c r="R29" s="22">
        <v>0</v>
      </c>
      <c r="S29" s="22">
        <v>0</v>
      </c>
      <c r="T29" s="22">
        <v>0</v>
      </c>
      <c r="U29" s="22">
        <v>0</v>
      </c>
      <c r="V29" s="22">
        <v>0</v>
      </c>
      <c r="W29" s="22">
        <v>0</v>
      </c>
      <c r="X29" s="22">
        <v>5</v>
      </c>
      <c r="Y29" s="12">
        <v>7</v>
      </c>
      <c r="Z29" s="19">
        <v>4</v>
      </c>
      <c r="AA29" s="22">
        <v>4</v>
      </c>
      <c r="AB29" s="22">
        <v>3</v>
      </c>
      <c r="AC29" s="22">
        <v>0</v>
      </c>
      <c r="AD29" s="22">
        <v>2</v>
      </c>
      <c r="AE29" s="22">
        <v>6</v>
      </c>
      <c r="AF29" s="22">
        <v>7</v>
      </c>
      <c r="AG29" s="22">
        <v>1</v>
      </c>
      <c r="AH29" s="22">
        <v>0</v>
      </c>
      <c r="AI29" s="22">
        <v>7</v>
      </c>
      <c r="AJ29" s="22">
        <v>5</v>
      </c>
      <c r="AK29" s="12">
        <v>4</v>
      </c>
      <c r="AL29" s="19">
        <v>5</v>
      </c>
      <c r="AM29" s="22">
        <v>2</v>
      </c>
      <c r="AN29" s="22">
        <v>10</v>
      </c>
      <c r="AO29" s="22">
        <v>3</v>
      </c>
      <c r="AP29" s="22">
        <v>2</v>
      </c>
      <c r="AQ29" s="22">
        <v>2</v>
      </c>
      <c r="AR29" s="22">
        <v>0</v>
      </c>
      <c r="AS29" s="22">
        <v>3</v>
      </c>
      <c r="AT29" s="22">
        <v>3</v>
      </c>
      <c r="AU29" s="22">
        <v>1</v>
      </c>
      <c r="AV29" s="22">
        <v>3</v>
      </c>
      <c r="AW29" s="22">
        <v>2</v>
      </c>
      <c r="AX29" s="19">
        <v>0</v>
      </c>
      <c r="AY29" s="22">
        <v>1</v>
      </c>
      <c r="AZ29" s="22">
        <v>2</v>
      </c>
      <c r="BA29" s="22">
        <v>4</v>
      </c>
      <c r="BB29" s="22">
        <v>2</v>
      </c>
      <c r="BC29" s="22">
        <v>1</v>
      </c>
      <c r="BD29" s="22">
        <v>2</v>
      </c>
      <c r="BE29" s="22">
        <v>1</v>
      </c>
      <c r="BF29" s="22">
        <v>2</v>
      </c>
      <c r="BG29" s="22">
        <v>4</v>
      </c>
      <c r="BH29" s="22">
        <v>2</v>
      </c>
      <c r="BI29" s="22">
        <v>4</v>
      </c>
      <c r="BJ29" s="19">
        <v>2</v>
      </c>
      <c r="BK29" s="22">
        <v>3</v>
      </c>
      <c r="BL29" s="22">
        <v>0</v>
      </c>
      <c r="BM29" s="22">
        <v>0</v>
      </c>
      <c r="BN29" s="22">
        <v>1</v>
      </c>
      <c r="BO29" s="22">
        <v>1</v>
      </c>
      <c r="BP29" s="22">
        <v>1</v>
      </c>
      <c r="BQ29" s="22">
        <v>2</v>
      </c>
      <c r="BR29" s="22">
        <v>0</v>
      </c>
      <c r="BS29" s="22">
        <v>1</v>
      </c>
      <c r="BT29" s="22">
        <v>0</v>
      </c>
      <c r="BU29" s="12">
        <v>3</v>
      </c>
      <c r="BV29" s="19">
        <v>1</v>
      </c>
      <c r="BW29" s="22">
        <v>0</v>
      </c>
      <c r="BX29" s="22">
        <v>7</v>
      </c>
      <c r="BY29" s="22">
        <v>1</v>
      </c>
      <c r="BZ29" s="22">
        <v>3</v>
      </c>
      <c r="CA29" s="22">
        <v>1</v>
      </c>
      <c r="CB29" s="22">
        <v>3</v>
      </c>
      <c r="CC29" s="22">
        <v>1</v>
      </c>
      <c r="CD29" s="22">
        <v>1</v>
      </c>
      <c r="CE29" s="22">
        <v>1</v>
      </c>
      <c r="CF29" s="22">
        <v>2</v>
      </c>
      <c r="CG29" s="22">
        <v>1</v>
      </c>
      <c r="CH29" s="19">
        <v>4</v>
      </c>
      <c r="CI29" s="22">
        <v>1</v>
      </c>
      <c r="CJ29" s="22">
        <v>8</v>
      </c>
      <c r="CK29" s="22">
        <v>2</v>
      </c>
      <c r="CL29" s="22">
        <v>1</v>
      </c>
      <c r="CM29" s="22">
        <v>3</v>
      </c>
      <c r="CN29" s="22">
        <v>16</v>
      </c>
      <c r="CO29" s="22">
        <v>5</v>
      </c>
      <c r="CP29" s="22">
        <v>0</v>
      </c>
      <c r="CQ29" s="22">
        <v>4</v>
      </c>
      <c r="CR29" s="22">
        <v>6</v>
      </c>
      <c r="CS29" s="12">
        <v>1</v>
      </c>
      <c r="CT29" s="19">
        <v>0</v>
      </c>
      <c r="CU29" s="22">
        <v>0</v>
      </c>
      <c r="CV29" s="22">
        <v>0</v>
      </c>
      <c r="CW29" s="22">
        <v>0</v>
      </c>
      <c r="CX29" s="22">
        <v>0</v>
      </c>
      <c r="CY29" s="22">
        <v>0</v>
      </c>
      <c r="CZ29" s="22">
        <v>0</v>
      </c>
      <c r="DA29" s="22">
        <v>0</v>
      </c>
      <c r="DB29" s="22">
        <v>0</v>
      </c>
      <c r="DC29" s="22">
        <v>0</v>
      </c>
      <c r="DD29" s="22">
        <v>0</v>
      </c>
      <c r="DE29" s="12">
        <v>0</v>
      </c>
      <c r="DF29" s="19">
        <v>0</v>
      </c>
      <c r="DG29" s="22">
        <v>0</v>
      </c>
      <c r="DH29" s="22">
        <v>0</v>
      </c>
      <c r="DI29" s="22">
        <v>0</v>
      </c>
      <c r="DJ29" s="22">
        <v>0</v>
      </c>
      <c r="DK29" s="22">
        <v>0</v>
      </c>
      <c r="DL29" s="22">
        <v>0</v>
      </c>
      <c r="DM29" s="22">
        <v>0</v>
      </c>
      <c r="DN29" s="22">
        <v>0</v>
      </c>
      <c r="DO29" s="22">
        <v>0</v>
      </c>
      <c r="DP29" s="22">
        <v>0</v>
      </c>
      <c r="DQ29" s="12">
        <v>0</v>
      </c>
      <c r="DR29" s="19">
        <v>0</v>
      </c>
      <c r="DS29" s="22">
        <v>0</v>
      </c>
      <c r="DT29" s="22">
        <v>0</v>
      </c>
      <c r="DU29" s="22">
        <v>0</v>
      </c>
      <c r="DV29" s="22">
        <v>0</v>
      </c>
      <c r="DW29" s="22">
        <v>0</v>
      </c>
      <c r="DX29" s="22">
        <v>0</v>
      </c>
      <c r="DY29" s="22">
        <v>0</v>
      </c>
      <c r="DZ29" s="22">
        <v>0</v>
      </c>
      <c r="EA29" s="22">
        <v>0</v>
      </c>
      <c r="EB29" s="22">
        <v>0</v>
      </c>
      <c r="EC29" s="12">
        <v>0</v>
      </c>
      <c r="ED29" s="12">
        <f>SUM(N29:EC29)</f>
        <v>203</v>
      </c>
      <c r="EF29" s="6">
        <f t="shared" ref="EF29:EF50" si="87">+W29+X29+Y29</f>
        <v>12</v>
      </c>
      <c r="EG29" s="19">
        <f t="shared" ref="EG29:EG50" si="88">+Z29+AA29+AB29</f>
        <v>11</v>
      </c>
      <c r="EH29" s="22">
        <f t="shared" ref="EH29:EH50" si="89">+AC29+AD29+AE29</f>
        <v>8</v>
      </c>
      <c r="EI29" s="22">
        <f t="shared" ref="EI29:EI50" si="90">+AF29+AG29+AH29</f>
        <v>8</v>
      </c>
      <c r="EJ29" s="12">
        <f t="shared" ref="EJ29:EJ50" si="91">+AI29+AJ29+AK29</f>
        <v>16</v>
      </c>
      <c r="EK29" s="22">
        <f t="shared" ref="EK29:EK50" si="92">+AL29+AM29+AN29</f>
        <v>17</v>
      </c>
      <c r="EL29" s="22">
        <f t="shared" ref="EL29:EL50" si="93">+AO29+AP29+AQ29</f>
        <v>7</v>
      </c>
      <c r="EM29" s="22">
        <f t="shared" ref="EM29:EM50" si="94">+AR29+AS29+AT29</f>
        <v>6</v>
      </c>
      <c r="EN29" s="12">
        <f t="shared" ref="EN29:EN50" si="95">+AU29+AV29+AW29</f>
        <v>6</v>
      </c>
      <c r="EO29" s="22">
        <f t="shared" ref="EO29:EO49" si="96">+AX29+AY29+AZ29</f>
        <v>3</v>
      </c>
      <c r="EP29" s="22">
        <f t="shared" ref="EP29:EP49" si="97">+BA29+BB29+BC29</f>
        <v>7</v>
      </c>
      <c r="EQ29" s="22">
        <f t="shared" ref="EQ29:EQ49" si="98">+BD29+BE29+BF29</f>
        <v>5</v>
      </c>
      <c r="ER29" s="12">
        <f t="shared" si="69"/>
        <v>9</v>
      </c>
      <c r="ES29" s="90">
        <f t="shared" si="70"/>
        <v>5</v>
      </c>
      <c r="ET29" s="94">
        <f t="shared" si="71"/>
        <v>2</v>
      </c>
      <c r="EU29" s="94">
        <f t="shared" ref="EU29:EU50" si="99">SUM(BP29:BR29)</f>
        <v>3</v>
      </c>
      <c r="EV29" s="28">
        <f t="shared" si="72"/>
        <v>4</v>
      </c>
      <c r="EW29" s="90">
        <f>SUM(BV29:BX29)</f>
        <v>8</v>
      </c>
      <c r="EX29" s="94">
        <f t="shared" ref="EX29:EX50" si="100">SUM(BY29:CA29)</f>
        <v>5</v>
      </c>
      <c r="EY29" s="94">
        <f t="shared" ref="EY29:EY50" si="101">SUM(CB29:CD29)</f>
        <v>5</v>
      </c>
      <c r="EZ29" s="28">
        <f t="shared" ref="EZ29:EZ50" si="102">SUM(CE29:CG29)</f>
        <v>4</v>
      </c>
      <c r="FA29" s="90">
        <f t="shared" ref="FA29:FA49" si="103">SUM(CH29:CJ29)</f>
        <v>13</v>
      </c>
      <c r="FB29" s="94">
        <f t="shared" ref="FB29:FB49" si="104">SUM(CK29:CM29)</f>
        <v>6</v>
      </c>
      <c r="FC29" s="94">
        <f t="shared" ref="FC29:FC49" si="105">SUM(CN29:CP29)</f>
        <v>21</v>
      </c>
      <c r="FD29" s="28">
        <f t="shared" ref="FD29:FD49" si="106">SUM(CQ29:CS29)</f>
        <v>11</v>
      </c>
      <c r="FE29" s="90">
        <f>SUM(CT29:CV29)</f>
        <v>0</v>
      </c>
      <c r="FF29" s="94">
        <f>SUM(CW29:CY29)</f>
        <v>0</v>
      </c>
      <c r="FG29" s="94">
        <f>SUM(CZ29:DB29)</f>
        <v>0</v>
      </c>
      <c r="FH29" s="28">
        <f>SUM(DC29:DE29)</f>
        <v>0</v>
      </c>
      <c r="FI29" s="90">
        <f t="shared" si="77"/>
        <v>0</v>
      </c>
      <c r="FJ29" s="94">
        <f t="shared" si="78"/>
        <v>0</v>
      </c>
      <c r="FK29" s="94">
        <f t="shared" si="79"/>
        <v>0</v>
      </c>
      <c r="FL29" s="28">
        <f t="shared" si="80"/>
        <v>0</v>
      </c>
      <c r="FM29" s="90">
        <f t="shared" ref="FM29:FM50" si="107">SUM(DR29:DT29)</f>
        <v>0</v>
      </c>
      <c r="FN29" s="94">
        <f t="shared" ref="FN29:FN50" si="108">SUM(DU29:DW29)</f>
        <v>0</v>
      </c>
      <c r="FO29" s="94">
        <f t="shared" ref="FO29:FO50" si="109">SUM(DX29:DZ29)</f>
        <v>0</v>
      </c>
      <c r="FP29" s="28">
        <f t="shared" ref="FP29:FP50" si="110">SUM(EA29:EC29)</f>
        <v>0</v>
      </c>
      <c r="FR29" s="19">
        <f t="shared" si="81"/>
        <v>12</v>
      </c>
      <c r="FS29" s="22">
        <f t="shared" si="82"/>
        <v>43</v>
      </c>
      <c r="FT29" s="22">
        <f t="shared" si="83"/>
        <v>36</v>
      </c>
      <c r="FU29" s="22">
        <f t="shared" si="84"/>
        <v>24</v>
      </c>
      <c r="FV29" s="22">
        <f t="shared" si="85"/>
        <v>14</v>
      </c>
      <c r="FW29" s="22">
        <f t="shared" ref="FW29:FW50" si="111">SUM(EW29:EZ29)</f>
        <v>22</v>
      </c>
      <c r="FX29" s="22">
        <f t="shared" ref="FX29:FX50" si="112">SUM(FA29:FD29)</f>
        <v>51</v>
      </c>
      <c r="FY29" s="22">
        <f t="shared" ref="FY29:FY49" si="113">SUM(FE29:FH29)</f>
        <v>0</v>
      </c>
      <c r="FZ29" s="94">
        <f t="shared" si="86"/>
        <v>0</v>
      </c>
      <c r="GA29" s="28">
        <f t="shared" ref="GA29:GA50" si="114">SUM(FM29:FP29)</f>
        <v>0</v>
      </c>
    </row>
    <row r="30" spans="1:183">
      <c r="A30" s="44" t="s">
        <v>707</v>
      </c>
      <c r="B30" s="261"/>
      <c r="C30">
        <v>0</v>
      </c>
      <c r="D30">
        <v>0</v>
      </c>
      <c r="E30">
        <v>0</v>
      </c>
      <c r="F30">
        <v>0</v>
      </c>
      <c r="G30">
        <v>0</v>
      </c>
      <c r="H30">
        <v>0</v>
      </c>
      <c r="I30">
        <v>0</v>
      </c>
      <c r="J30">
        <v>0</v>
      </c>
      <c r="K30">
        <v>0</v>
      </c>
      <c r="L30">
        <v>0</v>
      </c>
      <c r="M30">
        <v>0</v>
      </c>
      <c r="N30" s="22">
        <v>0</v>
      </c>
      <c r="O30" s="22">
        <v>0</v>
      </c>
      <c r="P30" s="22">
        <v>0</v>
      </c>
      <c r="Q30" s="22">
        <v>0</v>
      </c>
      <c r="R30" s="22">
        <v>0</v>
      </c>
      <c r="S30" s="22">
        <v>0</v>
      </c>
      <c r="T30" s="22">
        <v>0</v>
      </c>
      <c r="U30" s="22">
        <v>0</v>
      </c>
      <c r="V30" s="22">
        <v>0</v>
      </c>
      <c r="W30" s="22">
        <v>1</v>
      </c>
      <c r="X30" s="22">
        <v>1</v>
      </c>
      <c r="Y30" s="12">
        <v>1</v>
      </c>
      <c r="Z30" s="19">
        <v>0</v>
      </c>
      <c r="AA30" s="22">
        <v>1</v>
      </c>
      <c r="AB30" s="22">
        <v>1</v>
      </c>
      <c r="AC30" s="22">
        <v>1</v>
      </c>
      <c r="AD30" s="22">
        <v>2</v>
      </c>
      <c r="AE30" s="22">
        <v>0</v>
      </c>
      <c r="AF30" s="22">
        <v>3</v>
      </c>
      <c r="AG30" s="22">
        <v>0</v>
      </c>
      <c r="AH30" s="22">
        <v>4</v>
      </c>
      <c r="AI30" s="22">
        <v>1</v>
      </c>
      <c r="AJ30" s="22">
        <v>1</v>
      </c>
      <c r="AK30" s="12">
        <v>2</v>
      </c>
      <c r="AL30" s="19">
        <v>1</v>
      </c>
      <c r="AM30" s="22">
        <v>0</v>
      </c>
      <c r="AN30" s="22">
        <v>1</v>
      </c>
      <c r="AO30" s="22">
        <v>2</v>
      </c>
      <c r="AP30" s="22">
        <v>1</v>
      </c>
      <c r="AQ30" s="22">
        <v>2</v>
      </c>
      <c r="AR30" s="22">
        <v>3</v>
      </c>
      <c r="AS30" s="22">
        <v>0</v>
      </c>
      <c r="AT30" s="22">
        <v>0</v>
      </c>
      <c r="AU30" s="22">
        <v>0</v>
      </c>
      <c r="AV30" s="22">
        <v>1</v>
      </c>
      <c r="AW30" s="22">
        <v>0</v>
      </c>
      <c r="AX30" s="19">
        <v>0</v>
      </c>
      <c r="AY30" s="22">
        <v>0</v>
      </c>
      <c r="AZ30" s="22">
        <v>1</v>
      </c>
      <c r="BA30" s="22">
        <v>0</v>
      </c>
      <c r="BB30" s="22">
        <v>0</v>
      </c>
      <c r="BC30" s="22">
        <v>0</v>
      </c>
      <c r="BD30" s="22">
        <v>2</v>
      </c>
      <c r="BE30" s="22">
        <v>1</v>
      </c>
      <c r="BF30" s="22">
        <v>1</v>
      </c>
      <c r="BG30" s="22">
        <v>1</v>
      </c>
      <c r="BH30" s="22">
        <v>0</v>
      </c>
      <c r="BI30" s="22">
        <v>4</v>
      </c>
      <c r="BJ30" s="20">
        <v>4</v>
      </c>
      <c r="BK30" s="24">
        <v>3</v>
      </c>
      <c r="BL30" s="24">
        <v>0</v>
      </c>
      <c r="BM30" s="24">
        <v>2</v>
      </c>
      <c r="BN30" s="24">
        <v>0</v>
      </c>
      <c r="BO30" s="24">
        <v>4</v>
      </c>
      <c r="BP30" s="24">
        <v>1</v>
      </c>
      <c r="BQ30" s="24">
        <v>1</v>
      </c>
      <c r="BR30" s="24">
        <v>1</v>
      </c>
      <c r="BS30" s="24">
        <v>1</v>
      </c>
      <c r="BT30" s="24">
        <v>4</v>
      </c>
      <c r="BU30" s="13">
        <v>2</v>
      </c>
      <c r="BV30" s="20">
        <v>0</v>
      </c>
      <c r="BW30" s="24">
        <v>4</v>
      </c>
      <c r="BX30" s="24">
        <v>1</v>
      </c>
      <c r="BY30" s="24">
        <v>6</v>
      </c>
      <c r="BZ30" s="24">
        <v>1</v>
      </c>
      <c r="CA30" s="24">
        <v>4</v>
      </c>
      <c r="CB30" s="24">
        <v>9</v>
      </c>
      <c r="CC30" s="24">
        <v>4</v>
      </c>
      <c r="CD30" s="24">
        <v>14</v>
      </c>
      <c r="CE30" s="24">
        <v>11</v>
      </c>
      <c r="CF30" s="24">
        <v>12</v>
      </c>
      <c r="CG30" s="24">
        <v>20</v>
      </c>
      <c r="CH30" s="20">
        <v>5</v>
      </c>
      <c r="CI30" s="24">
        <v>1</v>
      </c>
      <c r="CJ30" s="24">
        <v>5</v>
      </c>
      <c r="CK30" s="24">
        <v>3</v>
      </c>
      <c r="CL30" s="24">
        <v>4</v>
      </c>
      <c r="CM30" s="24">
        <v>1</v>
      </c>
      <c r="CN30" s="24">
        <v>5</v>
      </c>
      <c r="CO30" s="24">
        <v>11</v>
      </c>
      <c r="CP30" s="24">
        <v>8</v>
      </c>
      <c r="CQ30" s="24">
        <v>40</v>
      </c>
      <c r="CR30" s="24">
        <v>23</v>
      </c>
      <c r="CS30" s="13">
        <v>57</v>
      </c>
      <c r="CT30" s="20">
        <v>4</v>
      </c>
      <c r="CU30" s="24">
        <v>0</v>
      </c>
      <c r="CV30" s="24">
        <v>0</v>
      </c>
      <c r="CW30" s="24">
        <v>2</v>
      </c>
      <c r="CX30" s="24">
        <v>1</v>
      </c>
      <c r="CY30" s="24">
        <v>0</v>
      </c>
      <c r="CZ30" s="24">
        <v>0</v>
      </c>
      <c r="DA30" s="24">
        <v>2</v>
      </c>
      <c r="DB30" s="24">
        <v>0</v>
      </c>
      <c r="DC30" s="24">
        <v>1</v>
      </c>
      <c r="DD30" s="24">
        <v>0</v>
      </c>
      <c r="DE30" s="13">
        <v>1</v>
      </c>
      <c r="DF30" s="20">
        <v>0</v>
      </c>
      <c r="DG30" s="24">
        <v>0</v>
      </c>
      <c r="DH30" s="24">
        <v>0</v>
      </c>
      <c r="DI30" s="24">
        <v>0</v>
      </c>
      <c r="DJ30" s="24">
        <v>0</v>
      </c>
      <c r="DK30" s="24">
        <v>0</v>
      </c>
      <c r="DL30" s="24">
        <v>0</v>
      </c>
      <c r="DM30" s="24">
        <v>0</v>
      </c>
      <c r="DN30" s="24">
        <v>0</v>
      </c>
      <c r="DO30" s="24">
        <v>0</v>
      </c>
      <c r="DP30" s="24">
        <v>0</v>
      </c>
      <c r="DQ30" s="13">
        <v>0</v>
      </c>
      <c r="DR30" s="20">
        <v>0</v>
      </c>
      <c r="DS30" s="24">
        <v>0</v>
      </c>
      <c r="DT30" s="24">
        <v>0</v>
      </c>
      <c r="DU30" s="24">
        <v>0</v>
      </c>
      <c r="DV30" s="24">
        <v>0</v>
      </c>
      <c r="DW30" s="24">
        <v>0</v>
      </c>
      <c r="DX30" s="24">
        <v>0</v>
      </c>
      <c r="DY30" s="24">
        <v>0</v>
      </c>
      <c r="DZ30" s="24">
        <v>0</v>
      </c>
      <c r="EA30" s="24">
        <v>0</v>
      </c>
      <c r="EB30" s="24">
        <v>0</v>
      </c>
      <c r="EC30" s="13">
        <v>0</v>
      </c>
      <c r="ED30" s="12">
        <f>SUM(N30:EC30)</f>
        <v>323</v>
      </c>
      <c r="EF30" s="7">
        <f t="shared" si="87"/>
        <v>3</v>
      </c>
      <c r="EG30" s="20">
        <f t="shared" si="88"/>
        <v>2</v>
      </c>
      <c r="EH30" s="24">
        <f t="shared" si="89"/>
        <v>3</v>
      </c>
      <c r="EI30" s="24">
        <f t="shared" si="90"/>
        <v>7</v>
      </c>
      <c r="EJ30" s="13">
        <f t="shared" si="91"/>
        <v>4</v>
      </c>
      <c r="EK30" s="24">
        <f t="shared" si="92"/>
        <v>2</v>
      </c>
      <c r="EL30" s="24">
        <f t="shared" si="93"/>
        <v>5</v>
      </c>
      <c r="EM30" s="24">
        <f t="shared" si="94"/>
        <v>3</v>
      </c>
      <c r="EN30" s="13">
        <f t="shared" si="95"/>
        <v>1</v>
      </c>
      <c r="EO30" s="24">
        <f t="shared" si="96"/>
        <v>1</v>
      </c>
      <c r="EP30" s="24">
        <f t="shared" si="97"/>
        <v>0</v>
      </c>
      <c r="EQ30" s="24">
        <f t="shared" si="98"/>
        <v>4</v>
      </c>
      <c r="ER30" s="13">
        <f t="shared" si="69"/>
        <v>3</v>
      </c>
      <c r="ES30" s="47">
        <f t="shared" si="70"/>
        <v>7</v>
      </c>
      <c r="ET30" s="95">
        <f t="shared" si="71"/>
        <v>6</v>
      </c>
      <c r="EU30" s="95">
        <f t="shared" si="99"/>
        <v>3</v>
      </c>
      <c r="EV30" s="29">
        <f t="shared" si="72"/>
        <v>7</v>
      </c>
      <c r="EW30" s="47">
        <f t="shared" ref="EW30:EW50" si="115">SUM(BV30:BX30)</f>
        <v>5</v>
      </c>
      <c r="EX30" s="95">
        <f t="shared" si="100"/>
        <v>11</v>
      </c>
      <c r="EY30" s="95">
        <f t="shared" si="101"/>
        <v>27</v>
      </c>
      <c r="EZ30" s="29">
        <f t="shared" si="102"/>
        <v>43</v>
      </c>
      <c r="FA30" s="47">
        <f t="shared" si="103"/>
        <v>11</v>
      </c>
      <c r="FB30" s="95">
        <f t="shared" si="104"/>
        <v>8</v>
      </c>
      <c r="FC30" s="95">
        <f t="shared" si="105"/>
        <v>24</v>
      </c>
      <c r="FD30" s="29">
        <f t="shared" si="106"/>
        <v>120</v>
      </c>
      <c r="FE30" s="47">
        <f t="shared" ref="FE30:FE49" si="116">SUM(CT30:CV30)</f>
        <v>4</v>
      </c>
      <c r="FF30" s="95">
        <f t="shared" ref="FF30:FF49" si="117">SUM(CW30:CY30)</f>
        <v>3</v>
      </c>
      <c r="FG30" s="95">
        <f t="shared" ref="FG30:FG49" si="118">SUM(CZ30:DB30)</f>
        <v>2</v>
      </c>
      <c r="FH30" s="29">
        <f t="shared" ref="FH30:FH49" si="119">SUM(DC30:DE30)</f>
        <v>2</v>
      </c>
      <c r="FI30" s="47">
        <f t="shared" si="77"/>
        <v>0</v>
      </c>
      <c r="FJ30" s="95">
        <f t="shared" si="78"/>
        <v>0</v>
      </c>
      <c r="FK30" s="95">
        <f t="shared" si="79"/>
        <v>0</v>
      </c>
      <c r="FL30" s="29">
        <f t="shared" si="80"/>
        <v>0</v>
      </c>
      <c r="FM30" s="47">
        <f t="shared" si="107"/>
        <v>0</v>
      </c>
      <c r="FN30" s="95">
        <f t="shared" si="108"/>
        <v>0</v>
      </c>
      <c r="FO30" s="95">
        <f t="shared" si="109"/>
        <v>0</v>
      </c>
      <c r="FP30" s="29">
        <f t="shared" si="110"/>
        <v>0</v>
      </c>
      <c r="FR30" s="20">
        <f t="shared" si="81"/>
        <v>3</v>
      </c>
      <c r="FS30" s="24">
        <f t="shared" si="82"/>
        <v>16</v>
      </c>
      <c r="FT30" s="24">
        <f t="shared" si="83"/>
        <v>11</v>
      </c>
      <c r="FU30" s="24">
        <f t="shared" si="84"/>
        <v>8</v>
      </c>
      <c r="FV30" s="24">
        <f t="shared" si="85"/>
        <v>23</v>
      </c>
      <c r="FW30" s="24">
        <f t="shared" si="111"/>
        <v>86</v>
      </c>
      <c r="FX30" s="24">
        <f t="shared" si="112"/>
        <v>163</v>
      </c>
      <c r="FY30" s="24">
        <f t="shared" si="113"/>
        <v>11</v>
      </c>
      <c r="FZ30" s="95">
        <f t="shared" si="86"/>
        <v>0</v>
      </c>
      <c r="GA30" s="29">
        <f t="shared" si="114"/>
        <v>0</v>
      </c>
    </row>
    <row r="31" spans="1:183">
      <c r="A31" s="39" t="s">
        <v>396</v>
      </c>
      <c r="B31" s="261"/>
      <c r="C31">
        <v>0</v>
      </c>
      <c r="D31">
        <v>0</v>
      </c>
      <c r="E31">
        <v>0</v>
      </c>
      <c r="F31">
        <v>0</v>
      </c>
      <c r="G31">
        <v>0</v>
      </c>
      <c r="H31">
        <v>0</v>
      </c>
      <c r="I31">
        <v>0</v>
      </c>
      <c r="J31">
        <v>0</v>
      </c>
      <c r="K31">
        <v>0</v>
      </c>
      <c r="L31">
        <v>0</v>
      </c>
      <c r="M31">
        <v>0</v>
      </c>
      <c r="N31" s="155">
        <f t="shared" ref="N31:AR31" si="120">SUM(N32:N40)</f>
        <v>0</v>
      </c>
      <c r="O31" s="155">
        <f t="shared" si="120"/>
        <v>0</v>
      </c>
      <c r="P31" s="155">
        <f t="shared" si="120"/>
        <v>0</v>
      </c>
      <c r="Q31" s="155">
        <f t="shared" si="120"/>
        <v>0</v>
      </c>
      <c r="R31" s="155">
        <f t="shared" si="120"/>
        <v>0</v>
      </c>
      <c r="S31" s="155">
        <f t="shared" si="120"/>
        <v>0</v>
      </c>
      <c r="T31" s="155">
        <f t="shared" si="120"/>
        <v>0</v>
      </c>
      <c r="U31" s="155">
        <f t="shared" si="120"/>
        <v>0</v>
      </c>
      <c r="V31" s="155">
        <f t="shared" si="120"/>
        <v>0</v>
      </c>
      <c r="W31" s="155">
        <f t="shared" si="120"/>
        <v>0</v>
      </c>
      <c r="X31" s="155">
        <f t="shared" si="120"/>
        <v>6</v>
      </c>
      <c r="Y31" s="177">
        <f t="shared" si="120"/>
        <v>2</v>
      </c>
      <c r="Z31" s="120">
        <f t="shared" si="120"/>
        <v>7</v>
      </c>
      <c r="AA31" s="155">
        <f t="shared" si="120"/>
        <v>0</v>
      </c>
      <c r="AB31" s="155">
        <f t="shared" si="120"/>
        <v>3</v>
      </c>
      <c r="AC31" s="155">
        <f t="shared" si="120"/>
        <v>2</v>
      </c>
      <c r="AD31" s="155">
        <f t="shared" si="120"/>
        <v>1</v>
      </c>
      <c r="AE31" s="155">
        <f t="shared" si="120"/>
        <v>2</v>
      </c>
      <c r="AF31" s="155">
        <f t="shared" si="120"/>
        <v>2</v>
      </c>
      <c r="AG31" s="155">
        <f t="shared" si="120"/>
        <v>0</v>
      </c>
      <c r="AH31" s="155">
        <f t="shared" si="120"/>
        <v>0</v>
      </c>
      <c r="AI31" s="155">
        <f t="shared" si="120"/>
        <v>1</v>
      </c>
      <c r="AJ31" s="155">
        <f t="shared" si="120"/>
        <v>1</v>
      </c>
      <c r="AK31" s="177">
        <f t="shared" si="120"/>
        <v>2</v>
      </c>
      <c r="AL31" s="120">
        <f t="shared" si="120"/>
        <v>1</v>
      </c>
      <c r="AM31" s="155">
        <f t="shared" si="120"/>
        <v>0</v>
      </c>
      <c r="AN31" s="155">
        <f t="shared" si="120"/>
        <v>2</v>
      </c>
      <c r="AO31" s="155">
        <f t="shared" si="120"/>
        <v>1</v>
      </c>
      <c r="AP31" s="155">
        <f t="shared" si="120"/>
        <v>2</v>
      </c>
      <c r="AQ31" s="155">
        <f t="shared" si="120"/>
        <v>2</v>
      </c>
      <c r="AR31" s="155">
        <f t="shared" si="120"/>
        <v>9</v>
      </c>
      <c r="AS31" s="155">
        <f>SUM(AS32:AS40)</f>
        <v>1</v>
      </c>
      <c r="AT31" s="155">
        <f>SUM(AT32:AT40)</f>
        <v>1</v>
      </c>
      <c r="AU31" s="155">
        <f>SUM(AU32:AU40)</f>
        <v>3</v>
      </c>
      <c r="AV31" s="155">
        <f>SUM(AV32:AV40)</f>
        <v>2</v>
      </c>
      <c r="AW31" s="155">
        <f>SUM(AW32:AW40)</f>
        <v>1</v>
      </c>
      <c r="AX31" s="120">
        <f t="shared" ref="AX31:BD31" si="121">SUM(AX32:AX40)</f>
        <v>0</v>
      </c>
      <c r="AY31" s="155">
        <f t="shared" si="121"/>
        <v>0</v>
      </c>
      <c r="AZ31" s="155">
        <f t="shared" si="121"/>
        <v>2</v>
      </c>
      <c r="BA31" s="155">
        <f t="shared" si="121"/>
        <v>1</v>
      </c>
      <c r="BB31" s="155">
        <f t="shared" si="121"/>
        <v>0</v>
      </c>
      <c r="BC31" s="155">
        <f t="shared" si="121"/>
        <v>1</v>
      </c>
      <c r="BD31" s="155">
        <f t="shared" si="121"/>
        <v>1</v>
      </c>
      <c r="BE31" s="155">
        <f>SUM(BE32:BE40)</f>
        <v>8</v>
      </c>
      <c r="BF31" s="155">
        <f>SUM(BF32:BF40)</f>
        <v>22</v>
      </c>
      <c r="BG31" s="155">
        <f>SUM(BG32:BG40)</f>
        <v>0</v>
      </c>
      <c r="BH31" s="155">
        <f>SUM(BH32:BH40)</f>
        <v>1</v>
      </c>
      <c r="BI31" s="177">
        <f>SUM(BI32:BI40)</f>
        <v>4</v>
      </c>
      <c r="BJ31" s="155">
        <f t="shared" ref="BJ31:BU31" si="122">SUM(BJ32:BJ40)</f>
        <v>26</v>
      </c>
      <c r="BK31" s="155">
        <f t="shared" si="122"/>
        <v>1</v>
      </c>
      <c r="BL31" s="155">
        <f t="shared" si="122"/>
        <v>1</v>
      </c>
      <c r="BM31" s="155">
        <f t="shared" si="122"/>
        <v>7</v>
      </c>
      <c r="BN31" s="155">
        <f t="shared" si="122"/>
        <v>6</v>
      </c>
      <c r="BO31" s="155">
        <f t="shared" si="122"/>
        <v>5</v>
      </c>
      <c r="BP31" s="155">
        <f t="shared" si="122"/>
        <v>0</v>
      </c>
      <c r="BQ31" s="155">
        <f t="shared" si="122"/>
        <v>3</v>
      </c>
      <c r="BR31" s="155">
        <f t="shared" si="122"/>
        <v>7</v>
      </c>
      <c r="BS31" s="155">
        <f t="shared" si="122"/>
        <v>3</v>
      </c>
      <c r="BT31" s="155">
        <f t="shared" si="122"/>
        <v>2</v>
      </c>
      <c r="BU31" s="177">
        <f t="shared" si="122"/>
        <v>6</v>
      </c>
      <c r="BV31" s="155">
        <f t="shared" ref="BV31:CS31" si="123">SUM(BV32:BV40)</f>
        <v>3</v>
      </c>
      <c r="BW31" s="155">
        <f t="shared" si="123"/>
        <v>1</v>
      </c>
      <c r="BX31" s="155">
        <f t="shared" si="123"/>
        <v>16</v>
      </c>
      <c r="BY31" s="155">
        <f t="shared" si="123"/>
        <v>0</v>
      </c>
      <c r="BZ31" s="155">
        <f t="shared" si="123"/>
        <v>1</v>
      </c>
      <c r="CA31" s="155">
        <f t="shared" si="123"/>
        <v>1</v>
      </c>
      <c r="CB31" s="155">
        <f t="shared" si="123"/>
        <v>0</v>
      </c>
      <c r="CC31" s="155">
        <f t="shared" si="123"/>
        <v>0</v>
      </c>
      <c r="CD31" s="155">
        <f t="shared" si="123"/>
        <v>1</v>
      </c>
      <c r="CE31" s="155">
        <f t="shared" si="123"/>
        <v>1</v>
      </c>
      <c r="CF31" s="155">
        <f t="shared" si="123"/>
        <v>0</v>
      </c>
      <c r="CG31" s="155">
        <f t="shared" si="123"/>
        <v>1</v>
      </c>
      <c r="CH31" s="120">
        <f t="shared" si="123"/>
        <v>1</v>
      </c>
      <c r="CI31" s="155">
        <f t="shared" si="123"/>
        <v>1</v>
      </c>
      <c r="CJ31" s="155">
        <f t="shared" si="123"/>
        <v>2</v>
      </c>
      <c r="CK31" s="155">
        <f t="shared" si="123"/>
        <v>0</v>
      </c>
      <c r="CL31" s="155">
        <f t="shared" si="123"/>
        <v>1</v>
      </c>
      <c r="CM31" s="155">
        <f t="shared" si="123"/>
        <v>0</v>
      </c>
      <c r="CN31" s="155">
        <f t="shared" si="123"/>
        <v>0</v>
      </c>
      <c r="CO31" s="155">
        <f t="shared" si="123"/>
        <v>2</v>
      </c>
      <c r="CP31" s="155">
        <f t="shared" si="123"/>
        <v>0</v>
      </c>
      <c r="CQ31" s="155">
        <f t="shared" si="123"/>
        <v>1</v>
      </c>
      <c r="CR31" s="155">
        <f t="shared" si="123"/>
        <v>0</v>
      </c>
      <c r="CS31" s="177">
        <f t="shared" si="123"/>
        <v>5</v>
      </c>
      <c r="CT31" s="120">
        <f t="shared" ref="CT31:DE31" si="124">SUM(CT32:CT40)</f>
        <v>12</v>
      </c>
      <c r="CU31" s="155">
        <f t="shared" si="124"/>
        <v>1</v>
      </c>
      <c r="CV31" s="155">
        <f t="shared" si="124"/>
        <v>0</v>
      </c>
      <c r="CW31" s="155">
        <f t="shared" si="124"/>
        <v>0</v>
      </c>
      <c r="CX31" s="155">
        <f t="shared" si="124"/>
        <v>0</v>
      </c>
      <c r="CY31" s="155">
        <f t="shared" si="124"/>
        <v>0</v>
      </c>
      <c r="CZ31" s="155">
        <f t="shared" si="124"/>
        <v>0</v>
      </c>
      <c r="DA31" s="155">
        <f t="shared" si="124"/>
        <v>0</v>
      </c>
      <c r="DB31" s="155">
        <f t="shared" si="124"/>
        <v>0</v>
      </c>
      <c r="DC31" s="155">
        <f t="shared" si="124"/>
        <v>0</v>
      </c>
      <c r="DD31" s="155">
        <f t="shared" si="124"/>
        <v>0</v>
      </c>
      <c r="DE31" s="177">
        <f t="shared" si="124"/>
        <v>0</v>
      </c>
      <c r="DF31" s="120">
        <f t="shared" ref="DF31:DQ31" si="125">SUM(DF32:DF40)</f>
        <v>0</v>
      </c>
      <c r="DG31" s="155">
        <f t="shared" si="125"/>
        <v>0</v>
      </c>
      <c r="DH31" s="155">
        <f t="shared" si="125"/>
        <v>0</v>
      </c>
      <c r="DI31" s="155">
        <f t="shared" si="125"/>
        <v>0</v>
      </c>
      <c r="DJ31" s="155">
        <f t="shared" si="125"/>
        <v>0</v>
      </c>
      <c r="DK31" s="155">
        <f t="shared" si="125"/>
        <v>0</v>
      </c>
      <c r="DL31" s="155">
        <f t="shared" si="125"/>
        <v>0</v>
      </c>
      <c r="DM31" s="155">
        <f t="shared" si="125"/>
        <v>0</v>
      </c>
      <c r="DN31" s="155">
        <f t="shared" si="125"/>
        <v>0</v>
      </c>
      <c r="DO31" s="155">
        <f t="shared" si="125"/>
        <v>0</v>
      </c>
      <c r="DP31" s="155">
        <f t="shared" si="125"/>
        <v>0</v>
      </c>
      <c r="DQ31" s="177">
        <f t="shared" si="125"/>
        <v>0</v>
      </c>
      <c r="DR31" s="120">
        <f t="shared" ref="DR31:EC31" si="126">SUM(DR32:DR40)</f>
        <v>0</v>
      </c>
      <c r="DS31" s="155">
        <f t="shared" si="126"/>
        <v>0</v>
      </c>
      <c r="DT31" s="155">
        <f t="shared" si="126"/>
        <v>0</v>
      </c>
      <c r="DU31" s="155">
        <f t="shared" si="126"/>
        <v>0</v>
      </c>
      <c r="DV31" s="155">
        <f t="shared" si="126"/>
        <v>0</v>
      </c>
      <c r="DW31" s="155">
        <f t="shared" si="126"/>
        <v>0</v>
      </c>
      <c r="DX31" s="155">
        <f t="shared" si="126"/>
        <v>0</v>
      </c>
      <c r="DY31" s="155">
        <f t="shared" si="126"/>
        <v>0</v>
      </c>
      <c r="DZ31" s="155">
        <f t="shared" si="126"/>
        <v>0</v>
      </c>
      <c r="EA31" s="155">
        <f t="shared" si="126"/>
        <v>0</v>
      </c>
      <c r="EB31" s="155">
        <f t="shared" si="126"/>
        <v>0</v>
      </c>
      <c r="EC31" s="177">
        <f t="shared" si="126"/>
        <v>0</v>
      </c>
      <c r="ED31" s="177">
        <f>SUM(ED32:ED40)</f>
        <v>212</v>
      </c>
      <c r="EF31" s="36">
        <f t="shared" si="87"/>
        <v>8</v>
      </c>
      <c r="EG31" s="120">
        <f t="shared" si="88"/>
        <v>10</v>
      </c>
      <c r="EH31" s="155">
        <f t="shared" si="89"/>
        <v>5</v>
      </c>
      <c r="EI31" s="155">
        <f t="shared" si="90"/>
        <v>2</v>
      </c>
      <c r="EJ31" s="177">
        <f t="shared" si="91"/>
        <v>4</v>
      </c>
      <c r="EK31" s="155">
        <f t="shared" si="92"/>
        <v>3</v>
      </c>
      <c r="EL31" s="155">
        <f t="shared" si="93"/>
        <v>5</v>
      </c>
      <c r="EM31" s="155">
        <f t="shared" si="94"/>
        <v>11</v>
      </c>
      <c r="EN31" s="177">
        <f t="shared" si="95"/>
        <v>6</v>
      </c>
      <c r="EO31" s="155">
        <f t="shared" si="96"/>
        <v>2</v>
      </c>
      <c r="EP31" s="155">
        <f t="shared" si="97"/>
        <v>2</v>
      </c>
      <c r="EQ31" s="155">
        <f t="shared" si="98"/>
        <v>31</v>
      </c>
      <c r="ER31" s="177">
        <f t="shared" si="69"/>
        <v>7</v>
      </c>
      <c r="ES31" s="134">
        <f t="shared" si="70"/>
        <v>28</v>
      </c>
      <c r="ET31" s="133">
        <f t="shared" si="71"/>
        <v>18</v>
      </c>
      <c r="EU31" s="133">
        <f t="shared" si="99"/>
        <v>10</v>
      </c>
      <c r="EV31" s="138">
        <f t="shared" si="72"/>
        <v>11</v>
      </c>
      <c r="EW31" s="134">
        <f t="shared" si="115"/>
        <v>20</v>
      </c>
      <c r="EX31" s="133">
        <f t="shared" si="100"/>
        <v>2</v>
      </c>
      <c r="EY31" s="133">
        <f t="shared" si="101"/>
        <v>1</v>
      </c>
      <c r="EZ31" s="138">
        <f t="shared" si="102"/>
        <v>2</v>
      </c>
      <c r="FA31" s="134">
        <f t="shared" si="103"/>
        <v>4</v>
      </c>
      <c r="FB31" s="133">
        <f t="shared" si="104"/>
        <v>1</v>
      </c>
      <c r="FC31" s="133">
        <f t="shared" si="105"/>
        <v>2</v>
      </c>
      <c r="FD31" s="138">
        <f t="shared" si="106"/>
        <v>6</v>
      </c>
      <c r="FE31" s="134">
        <f t="shared" si="116"/>
        <v>13</v>
      </c>
      <c r="FF31" s="133">
        <f t="shared" si="117"/>
        <v>0</v>
      </c>
      <c r="FG31" s="133">
        <f t="shared" si="118"/>
        <v>0</v>
      </c>
      <c r="FH31" s="138">
        <f t="shared" si="119"/>
        <v>0</v>
      </c>
      <c r="FI31" s="134">
        <f t="shared" si="77"/>
        <v>0</v>
      </c>
      <c r="FJ31" s="133">
        <f t="shared" si="78"/>
        <v>0</v>
      </c>
      <c r="FK31" s="133">
        <f t="shared" si="79"/>
        <v>0</v>
      </c>
      <c r="FL31" s="138">
        <f t="shared" si="80"/>
        <v>0</v>
      </c>
      <c r="FM31" s="134">
        <f t="shared" si="107"/>
        <v>0</v>
      </c>
      <c r="FN31" s="133">
        <f t="shared" si="108"/>
        <v>0</v>
      </c>
      <c r="FO31" s="133">
        <f t="shared" si="109"/>
        <v>0</v>
      </c>
      <c r="FP31" s="138">
        <f t="shared" si="110"/>
        <v>0</v>
      </c>
      <c r="FR31" s="120">
        <f t="shared" si="81"/>
        <v>8</v>
      </c>
      <c r="FS31" s="155">
        <f t="shared" si="82"/>
        <v>21</v>
      </c>
      <c r="FT31" s="155">
        <f t="shared" si="83"/>
        <v>25</v>
      </c>
      <c r="FU31" s="155">
        <f t="shared" si="84"/>
        <v>42</v>
      </c>
      <c r="FV31" s="155">
        <f t="shared" si="85"/>
        <v>67</v>
      </c>
      <c r="FW31" s="155">
        <f t="shared" si="111"/>
        <v>25</v>
      </c>
      <c r="FX31" s="155">
        <f t="shared" si="112"/>
        <v>13</v>
      </c>
      <c r="FY31" s="155">
        <f t="shared" si="113"/>
        <v>13</v>
      </c>
      <c r="FZ31" s="133">
        <f t="shared" si="86"/>
        <v>0</v>
      </c>
      <c r="GA31" s="138">
        <f t="shared" si="114"/>
        <v>0</v>
      </c>
    </row>
    <row r="32" spans="1:183">
      <c r="A32" s="125" t="s">
        <v>573</v>
      </c>
      <c r="B32" s="261"/>
      <c r="C32">
        <v>0</v>
      </c>
      <c r="D32">
        <v>0</v>
      </c>
      <c r="E32">
        <v>0</v>
      </c>
      <c r="F32">
        <v>0</v>
      </c>
      <c r="G32">
        <v>0</v>
      </c>
      <c r="H32">
        <v>0</v>
      </c>
      <c r="I32">
        <v>0</v>
      </c>
      <c r="J32">
        <v>0</v>
      </c>
      <c r="K32">
        <v>0</v>
      </c>
      <c r="L32">
        <v>0</v>
      </c>
      <c r="N32" s="156">
        <v>0</v>
      </c>
      <c r="O32" s="156">
        <v>0</v>
      </c>
      <c r="P32" s="156">
        <v>0</v>
      </c>
      <c r="Q32" s="156">
        <v>0</v>
      </c>
      <c r="R32" s="156">
        <v>0</v>
      </c>
      <c r="S32" s="156">
        <v>0</v>
      </c>
      <c r="T32" s="156">
        <v>0</v>
      </c>
      <c r="U32" s="156">
        <v>0</v>
      </c>
      <c r="V32" s="156">
        <v>0</v>
      </c>
      <c r="W32" s="156">
        <v>0</v>
      </c>
      <c r="X32" s="156">
        <v>2</v>
      </c>
      <c r="Y32" s="239">
        <v>1</v>
      </c>
      <c r="Z32" s="125">
        <v>0</v>
      </c>
      <c r="AA32" s="156">
        <v>0</v>
      </c>
      <c r="AB32" s="156">
        <v>2</v>
      </c>
      <c r="AC32" s="156">
        <v>0</v>
      </c>
      <c r="AD32" s="156">
        <v>1</v>
      </c>
      <c r="AE32" s="156">
        <v>1</v>
      </c>
      <c r="AF32" s="156">
        <v>0</v>
      </c>
      <c r="AG32" s="156">
        <v>0</v>
      </c>
      <c r="AH32" s="156">
        <v>0</v>
      </c>
      <c r="AI32" s="156">
        <v>0</v>
      </c>
      <c r="AJ32" s="156">
        <v>0</v>
      </c>
      <c r="AK32" s="239">
        <v>2</v>
      </c>
      <c r="AL32" s="125">
        <v>0</v>
      </c>
      <c r="AM32" s="156">
        <v>0</v>
      </c>
      <c r="AN32" s="156">
        <v>1</v>
      </c>
      <c r="AO32" s="156">
        <v>0</v>
      </c>
      <c r="AP32" s="156">
        <v>1</v>
      </c>
      <c r="AQ32" s="156">
        <v>0</v>
      </c>
      <c r="AR32" s="156">
        <v>0</v>
      </c>
      <c r="AS32" s="156">
        <v>1</v>
      </c>
      <c r="AT32" s="156">
        <v>0</v>
      </c>
      <c r="AU32" s="156">
        <v>1</v>
      </c>
      <c r="AV32" s="156">
        <v>0</v>
      </c>
      <c r="AW32" s="156">
        <v>1</v>
      </c>
      <c r="AX32" s="125">
        <v>0</v>
      </c>
      <c r="AY32" s="156">
        <v>0</v>
      </c>
      <c r="AZ32" s="156">
        <v>1</v>
      </c>
      <c r="BA32" s="156">
        <v>0</v>
      </c>
      <c r="BB32" s="156">
        <v>0</v>
      </c>
      <c r="BC32" s="156">
        <v>0</v>
      </c>
      <c r="BD32" s="156">
        <v>0</v>
      </c>
      <c r="BE32" s="156">
        <v>0</v>
      </c>
      <c r="BF32" s="156">
        <v>0</v>
      </c>
      <c r="BG32" s="156">
        <v>0</v>
      </c>
      <c r="BH32" s="156">
        <v>0</v>
      </c>
      <c r="BI32" s="239">
        <v>0</v>
      </c>
      <c r="BJ32" s="156">
        <v>0</v>
      </c>
      <c r="BK32" s="156">
        <v>0</v>
      </c>
      <c r="BL32" s="156">
        <v>0</v>
      </c>
      <c r="BM32" s="156">
        <v>0</v>
      </c>
      <c r="BN32" s="156">
        <v>6</v>
      </c>
      <c r="BO32" s="156">
        <v>4</v>
      </c>
      <c r="BP32" s="156">
        <v>0</v>
      </c>
      <c r="BQ32" s="156">
        <v>0</v>
      </c>
      <c r="BR32" s="156">
        <v>6</v>
      </c>
      <c r="BS32" s="156">
        <v>0</v>
      </c>
      <c r="BT32" s="156">
        <v>1</v>
      </c>
      <c r="BU32" s="239">
        <v>4</v>
      </c>
      <c r="BV32" s="156">
        <v>0</v>
      </c>
      <c r="BW32" s="156">
        <v>0</v>
      </c>
      <c r="BX32" s="156">
        <v>0</v>
      </c>
      <c r="BY32" s="156">
        <v>0</v>
      </c>
      <c r="BZ32" s="156">
        <v>0</v>
      </c>
      <c r="CA32" s="156">
        <v>0</v>
      </c>
      <c r="CB32" s="156">
        <v>0</v>
      </c>
      <c r="CC32" s="156">
        <v>0</v>
      </c>
      <c r="CD32" s="156">
        <v>1</v>
      </c>
      <c r="CE32" s="156">
        <v>0</v>
      </c>
      <c r="CF32" s="156">
        <v>0</v>
      </c>
      <c r="CG32" s="156">
        <v>0</v>
      </c>
      <c r="CH32" s="125">
        <v>1</v>
      </c>
      <c r="CI32" s="156">
        <v>0</v>
      </c>
      <c r="CJ32" s="156">
        <v>0</v>
      </c>
      <c r="CK32" s="156">
        <v>0</v>
      </c>
      <c r="CL32" s="156">
        <v>0</v>
      </c>
      <c r="CM32" s="156">
        <v>0</v>
      </c>
      <c r="CN32" s="156">
        <v>0</v>
      </c>
      <c r="CO32" s="156">
        <v>0</v>
      </c>
      <c r="CP32" s="156">
        <v>0</v>
      </c>
      <c r="CQ32" s="156">
        <v>0</v>
      </c>
      <c r="CR32" s="156">
        <v>0</v>
      </c>
      <c r="CS32" s="239">
        <v>1</v>
      </c>
      <c r="CT32" s="125">
        <v>0</v>
      </c>
      <c r="CU32" s="156">
        <v>0</v>
      </c>
      <c r="CV32" s="156">
        <v>0</v>
      </c>
      <c r="CW32" s="156">
        <v>0</v>
      </c>
      <c r="CX32" s="156">
        <v>0</v>
      </c>
      <c r="CY32" s="156">
        <v>0</v>
      </c>
      <c r="CZ32" s="156">
        <v>0</v>
      </c>
      <c r="DA32" s="156">
        <v>0</v>
      </c>
      <c r="DB32" s="156">
        <v>0</v>
      </c>
      <c r="DC32" s="156">
        <v>0</v>
      </c>
      <c r="DD32" s="156">
        <v>0</v>
      </c>
      <c r="DE32" s="239">
        <v>0</v>
      </c>
      <c r="DF32" s="125">
        <v>0</v>
      </c>
      <c r="DG32" s="156">
        <v>0</v>
      </c>
      <c r="DH32" s="156">
        <v>0</v>
      </c>
      <c r="DI32" s="156">
        <v>0</v>
      </c>
      <c r="DJ32" s="156">
        <v>0</v>
      </c>
      <c r="DK32" s="156">
        <v>0</v>
      </c>
      <c r="DL32" s="156">
        <v>0</v>
      </c>
      <c r="DM32" s="156">
        <v>0</v>
      </c>
      <c r="DN32" s="156">
        <v>0</v>
      </c>
      <c r="DO32" s="156">
        <v>0</v>
      </c>
      <c r="DP32" s="156">
        <v>0</v>
      </c>
      <c r="DQ32" s="239">
        <v>0</v>
      </c>
      <c r="DR32" s="125">
        <v>0</v>
      </c>
      <c r="DS32" s="156">
        <v>0</v>
      </c>
      <c r="DT32" s="156">
        <v>0</v>
      </c>
      <c r="DU32" s="156">
        <v>0</v>
      </c>
      <c r="DV32" s="156">
        <v>0</v>
      </c>
      <c r="DW32" s="156">
        <v>0</v>
      </c>
      <c r="DX32" s="156">
        <v>0</v>
      </c>
      <c r="DY32" s="156">
        <v>0</v>
      </c>
      <c r="DZ32" s="156">
        <v>0</v>
      </c>
      <c r="EA32" s="156">
        <v>0</v>
      </c>
      <c r="EB32" s="156">
        <v>0</v>
      </c>
      <c r="EC32" s="239">
        <v>0</v>
      </c>
      <c r="ED32" s="12">
        <f t="shared" ref="ED32:ED40" si="127">SUM(N32:EC32)</f>
        <v>39</v>
      </c>
      <c r="EF32" s="6">
        <f t="shared" si="87"/>
        <v>3</v>
      </c>
      <c r="EG32" s="19">
        <f t="shared" si="88"/>
        <v>2</v>
      </c>
      <c r="EH32" s="22">
        <f t="shared" si="89"/>
        <v>2</v>
      </c>
      <c r="EI32" s="22">
        <f t="shared" si="90"/>
        <v>0</v>
      </c>
      <c r="EJ32" s="12">
        <f t="shared" si="91"/>
        <v>2</v>
      </c>
      <c r="EK32" s="22">
        <f t="shared" si="92"/>
        <v>1</v>
      </c>
      <c r="EL32" s="22">
        <f t="shared" si="93"/>
        <v>1</v>
      </c>
      <c r="EM32" s="22">
        <f t="shared" si="94"/>
        <v>1</v>
      </c>
      <c r="EN32" s="12">
        <f t="shared" si="95"/>
        <v>2</v>
      </c>
      <c r="EO32" s="22">
        <f t="shared" si="96"/>
        <v>1</v>
      </c>
      <c r="EP32" s="22">
        <f t="shared" si="97"/>
        <v>0</v>
      </c>
      <c r="EQ32" s="22">
        <f t="shared" si="98"/>
        <v>0</v>
      </c>
      <c r="ER32" s="12">
        <f t="shared" si="69"/>
        <v>4</v>
      </c>
      <c r="ES32" s="90">
        <f t="shared" si="70"/>
        <v>0</v>
      </c>
      <c r="ET32" s="94">
        <f t="shared" si="71"/>
        <v>10</v>
      </c>
      <c r="EU32" s="94">
        <f t="shared" si="99"/>
        <v>6</v>
      </c>
      <c r="EV32" s="28">
        <f t="shared" si="72"/>
        <v>5</v>
      </c>
      <c r="EW32" s="90">
        <f t="shared" si="115"/>
        <v>0</v>
      </c>
      <c r="EX32" s="94">
        <f t="shared" si="100"/>
        <v>0</v>
      </c>
      <c r="EY32" s="94">
        <f t="shared" si="101"/>
        <v>1</v>
      </c>
      <c r="EZ32" s="28">
        <f t="shared" si="102"/>
        <v>0</v>
      </c>
      <c r="FA32" s="90">
        <f t="shared" si="103"/>
        <v>1</v>
      </c>
      <c r="FB32" s="94">
        <f t="shared" si="104"/>
        <v>0</v>
      </c>
      <c r="FC32" s="94">
        <f t="shared" si="105"/>
        <v>0</v>
      </c>
      <c r="FD32" s="28">
        <f t="shared" si="106"/>
        <v>1</v>
      </c>
      <c r="FE32" s="90">
        <f t="shared" si="116"/>
        <v>0</v>
      </c>
      <c r="FF32" s="94">
        <f t="shared" si="117"/>
        <v>0</v>
      </c>
      <c r="FG32" s="94">
        <f t="shared" si="118"/>
        <v>0</v>
      </c>
      <c r="FH32" s="28">
        <f t="shared" si="119"/>
        <v>0</v>
      </c>
      <c r="FI32" s="90">
        <f t="shared" si="77"/>
        <v>0</v>
      </c>
      <c r="FJ32" s="94">
        <f t="shared" si="78"/>
        <v>0</v>
      </c>
      <c r="FK32" s="94">
        <f t="shared" si="79"/>
        <v>0</v>
      </c>
      <c r="FL32" s="28">
        <f t="shared" si="80"/>
        <v>0</v>
      </c>
      <c r="FM32" s="90">
        <f t="shared" si="107"/>
        <v>0</v>
      </c>
      <c r="FN32" s="94">
        <f t="shared" si="108"/>
        <v>0</v>
      </c>
      <c r="FO32" s="94">
        <f t="shared" si="109"/>
        <v>0</v>
      </c>
      <c r="FP32" s="28">
        <f t="shared" si="110"/>
        <v>0</v>
      </c>
      <c r="FR32" s="19">
        <f t="shared" si="81"/>
        <v>3</v>
      </c>
      <c r="FS32" s="22">
        <f t="shared" si="82"/>
        <v>6</v>
      </c>
      <c r="FT32" s="22">
        <f t="shared" si="83"/>
        <v>5</v>
      </c>
      <c r="FU32" s="22">
        <f t="shared" si="84"/>
        <v>5</v>
      </c>
      <c r="FV32" s="22">
        <f t="shared" si="85"/>
        <v>21</v>
      </c>
      <c r="FW32" s="22">
        <f t="shared" si="111"/>
        <v>1</v>
      </c>
      <c r="FX32" s="22">
        <f t="shared" si="112"/>
        <v>2</v>
      </c>
      <c r="FY32" s="22">
        <f t="shared" si="113"/>
        <v>0</v>
      </c>
      <c r="FZ32" s="94">
        <f t="shared" si="86"/>
        <v>0</v>
      </c>
      <c r="GA32" s="28">
        <f t="shared" si="114"/>
        <v>0</v>
      </c>
    </row>
    <row r="33" spans="1:183">
      <c r="A33" s="125" t="s">
        <v>265</v>
      </c>
      <c r="B33" s="261"/>
      <c r="C33">
        <v>0</v>
      </c>
      <c r="D33">
        <v>0</v>
      </c>
      <c r="E33">
        <v>0</v>
      </c>
      <c r="F33">
        <v>0</v>
      </c>
      <c r="G33">
        <v>0</v>
      </c>
      <c r="H33">
        <v>0</v>
      </c>
      <c r="I33">
        <v>0</v>
      </c>
      <c r="J33">
        <v>0</v>
      </c>
      <c r="K33">
        <v>0</v>
      </c>
      <c r="L33">
        <v>0</v>
      </c>
      <c r="N33" s="22">
        <v>0</v>
      </c>
      <c r="O33" s="22">
        <v>0</v>
      </c>
      <c r="P33" s="22">
        <v>0</v>
      </c>
      <c r="Q33" s="22">
        <v>0</v>
      </c>
      <c r="R33" s="22">
        <v>0</v>
      </c>
      <c r="S33" s="22">
        <v>0</v>
      </c>
      <c r="T33" s="22">
        <v>0</v>
      </c>
      <c r="U33" s="22">
        <v>0</v>
      </c>
      <c r="V33" s="22">
        <v>0</v>
      </c>
      <c r="W33" s="22">
        <v>0</v>
      </c>
      <c r="X33" s="22">
        <v>0</v>
      </c>
      <c r="Y33" s="12">
        <v>0</v>
      </c>
      <c r="Z33" s="19">
        <v>0</v>
      </c>
      <c r="AA33" s="22">
        <v>0</v>
      </c>
      <c r="AB33" s="22">
        <v>0</v>
      </c>
      <c r="AC33" s="22">
        <v>0</v>
      </c>
      <c r="AD33" s="22">
        <v>0</v>
      </c>
      <c r="AE33" s="22">
        <v>0</v>
      </c>
      <c r="AF33" s="22">
        <v>0</v>
      </c>
      <c r="AG33" s="22">
        <v>0</v>
      </c>
      <c r="AH33" s="22">
        <v>0</v>
      </c>
      <c r="AI33" s="22">
        <v>0</v>
      </c>
      <c r="AJ33" s="22">
        <v>0</v>
      </c>
      <c r="AK33" s="12">
        <v>0</v>
      </c>
      <c r="AL33" s="19">
        <v>0</v>
      </c>
      <c r="AM33" s="22">
        <v>0</v>
      </c>
      <c r="AN33" s="22">
        <v>1</v>
      </c>
      <c r="AO33" s="22">
        <v>0</v>
      </c>
      <c r="AP33" s="22">
        <v>0</v>
      </c>
      <c r="AQ33" s="22">
        <v>0</v>
      </c>
      <c r="AR33" s="22">
        <v>0</v>
      </c>
      <c r="AS33" s="22">
        <v>0</v>
      </c>
      <c r="AT33" s="22">
        <v>0</v>
      </c>
      <c r="AU33" s="22">
        <v>0</v>
      </c>
      <c r="AV33" s="22">
        <v>0</v>
      </c>
      <c r="AW33" s="22">
        <v>0</v>
      </c>
      <c r="AX33" s="19">
        <v>0</v>
      </c>
      <c r="AY33" s="22">
        <v>0</v>
      </c>
      <c r="AZ33" s="22">
        <v>0</v>
      </c>
      <c r="BA33" s="22">
        <v>0</v>
      </c>
      <c r="BB33" s="22">
        <v>0</v>
      </c>
      <c r="BC33" s="22">
        <v>1</v>
      </c>
      <c r="BD33" s="22">
        <v>1</v>
      </c>
      <c r="BE33" s="22">
        <v>0</v>
      </c>
      <c r="BF33" s="22">
        <v>9</v>
      </c>
      <c r="BG33" s="22">
        <v>0</v>
      </c>
      <c r="BH33" s="22">
        <v>0</v>
      </c>
      <c r="BI33" s="12">
        <v>3</v>
      </c>
      <c r="BJ33" s="22">
        <v>24</v>
      </c>
      <c r="BK33" s="22">
        <v>0</v>
      </c>
      <c r="BL33" s="22">
        <v>0</v>
      </c>
      <c r="BM33" s="22">
        <v>5</v>
      </c>
      <c r="BN33" s="22">
        <v>0</v>
      </c>
      <c r="BO33" s="22">
        <v>0</v>
      </c>
      <c r="BP33" s="22">
        <v>0</v>
      </c>
      <c r="BQ33" s="22">
        <v>0</v>
      </c>
      <c r="BR33" s="22">
        <v>0</v>
      </c>
      <c r="BS33" s="22">
        <v>1</v>
      </c>
      <c r="BT33" s="22">
        <v>0</v>
      </c>
      <c r="BU33" s="12">
        <v>0</v>
      </c>
      <c r="BV33" s="22">
        <v>0</v>
      </c>
      <c r="BW33" s="22">
        <v>1</v>
      </c>
      <c r="BX33" s="22">
        <v>13</v>
      </c>
      <c r="BY33" s="22">
        <v>0</v>
      </c>
      <c r="BZ33" s="22">
        <v>0</v>
      </c>
      <c r="CA33" s="22">
        <v>0</v>
      </c>
      <c r="CB33" s="22">
        <v>0</v>
      </c>
      <c r="CC33" s="22">
        <v>0</v>
      </c>
      <c r="CD33" s="22">
        <v>0</v>
      </c>
      <c r="CE33" s="22">
        <v>0</v>
      </c>
      <c r="CF33" s="22">
        <v>0</v>
      </c>
      <c r="CG33" s="22">
        <v>0</v>
      </c>
      <c r="CH33" s="19">
        <v>0</v>
      </c>
      <c r="CI33" s="22">
        <v>0</v>
      </c>
      <c r="CJ33" s="22">
        <v>0</v>
      </c>
      <c r="CK33" s="22">
        <v>0</v>
      </c>
      <c r="CL33" s="22">
        <v>0</v>
      </c>
      <c r="CM33" s="22">
        <v>0</v>
      </c>
      <c r="CN33" s="22">
        <v>0</v>
      </c>
      <c r="CO33" s="22">
        <v>0</v>
      </c>
      <c r="CP33" s="22">
        <v>0</v>
      </c>
      <c r="CQ33" s="22">
        <v>0</v>
      </c>
      <c r="CR33" s="22">
        <v>0</v>
      </c>
      <c r="CS33" s="12">
        <v>0</v>
      </c>
      <c r="CT33" s="19">
        <v>0</v>
      </c>
      <c r="CU33" s="22">
        <v>0</v>
      </c>
      <c r="CV33" s="22">
        <v>0</v>
      </c>
      <c r="CW33" s="22">
        <v>0</v>
      </c>
      <c r="CX33" s="22">
        <v>0</v>
      </c>
      <c r="CY33" s="22">
        <v>0</v>
      </c>
      <c r="CZ33" s="22">
        <v>0</v>
      </c>
      <c r="DA33" s="22">
        <v>0</v>
      </c>
      <c r="DB33" s="22">
        <v>0</v>
      </c>
      <c r="DC33" s="22">
        <v>0</v>
      </c>
      <c r="DD33" s="22">
        <v>0</v>
      </c>
      <c r="DE33" s="12">
        <v>0</v>
      </c>
      <c r="DF33" s="19">
        <v>0</v>
      </c>
      <c r="DG33" s="22">
        <v>0</v>
      </c>
      <c r="DH33" s="22">
        <v>0</v>
      </c>
      <c r="DI33" s="22">
        <v>0</v>
      </c>
      <c r="DJ33" s="22">
        <v>0</v>
      </c>
      <c r="DK33" s="22">
        <v>0</v>
      </c>
      <c r="DL33" s="22">
        <v>0</v>
      </c>
      <c r="DM33" s="22">
        <v>0</v>
      </c>
      <c r="DN33" s="22">
        <v>0</v>
      </c>
      <c r="DO33" s="22">
        <v>0</v>
      </c>
      <c r="DP33" s="22">
        <v>0</v>
      </c>
      <c r="DQ33" s="12">
        <v>0</v>
      </c>
      <c r="DR33" s="19">
        <v>0</v>
      </c>
      <c r="DS33" s="22">
        <v>0</v>
      </c>
      <c r="DT33" s="22">
        <v>0</v>
      </c>
      <c r="DU33" s="22">
        <v>0</v>
      </c>
      <c r="DV33" s="22">
        <v>0</v>
      </c>
      <c r="DW33" s="22">
        <v>0</v>
      </c>
      <c r="DX33" s="22">
        <v>0</v>
      </c>
      <c r="DY33" s="22">
        <v>0</v>
      </c>
      <c r="DZ33" s="22">
        <v>0</v>
      </c>
      <c r="EA33" s="22">
        <v>0</v>
      </c>
      <c r="EB33" s="22">
        <v>0</v>
      </c>
      <c r="EC33" s="12">
        <v>0</v>
      </c>
      <c r="ED33" s="12">
        <f t="shared" si="127"/>
        <v>59</v>
      </c>
      <c r="EF33" s="6">
        <f t="shared" si="87"/>
        <v>0</v>
      </c>
      <c r="EG33" s="19">
        <f t="shared" si="88"/>
        <v>0</v>
      </c>
      <c r="EH33" s="22">
        <f t="shared" si="89"/>
        <v>0</v>
      </c>
      <c r="EI33" s="22">
        <f t="shared" si="90"/>
        <v>0</v>
      </c>
      <c r="EJ33" s="12">
        <f t="shared" si="91"/>
        <v>0</v>
      </c>
      <c r="EK33" s="22">
        <f t="shared" si="92"/>
        <v>1</v>
      </c>
      <c r="EL33" s="22">
        <f t="shared" si="93"/>
        <v>0</v>
      </c>
      <c r="EM33" s="22">
        <f t="shared" si="94"/>
        <v>0</v>
      </c>
      <c r="EN33" s="12">
        <f t="shared" si="95"/>
        <v>0</v>
      </c>
      <c r="EO33" s="22">
        <f t="shared" si="96"/>
        <v>0</v>
      </c>
      <c r="EP33" s="22">
        <f t="shared" si="97"/>
        <v>1</v>
      </c>
      <c r="EQ33" s="22">
        <f t="shared" si="98"/>
        <v>10</v>
      </c>
      <c r="ER33" s="12">
        <f t="shared" si="69"/>
        <v>0</v>
      </c>
      <c r="ES33" s="90">
        <f t="shared" si="70"/>
        <v>24</v>
      </c>
      <c r="ET33" s="94">
        <f t="shared" si="71"/>
        <v>5</v>
      </c>
      <c r="EU33" s="94">
        <f t="shared" si="99"/>
        <v>0</v>
      </c>
      <c r="EV33" s="28">
        <f t="shared" si="72"/>
        <v>1</v>
      </c>
      <c r="EW33" s="90">
        <f t="shared" si="115"/>
        <v>14</v>
      </c>
      <c r="EX33" s="94">
        <f t="shared" si="100"/>
        <v>0</v>
      </c>
      <c r="EY33" s="94">
        <f t="shared" si="101"/>
        <v>0</v>
      </c>
      <c r="EZ33" s="28">
        <f t="shared" si="102"/>
        <v>0</v>
      </c>
      <c r="FA33" s="90">
        <f t="shared" si="103"/>
        <v>0</v>
      </c>
      <c r="FB33" s="94">
        <f t="shared" si="104"/>
        <v>0</v>
      </c>
      <c r="FC33" s="94">
        <f t="shared" si="105"/>
        <v>0</v>
      </c>
      <c r="FD33" s="28">
        <f t="shared" si="106"/>
        <v>0</v>
      </c>
      <c r="FE33" s="90">
        <f t="shared" si="116"/>
        <v>0</v>
      </c>
      <c r="FF33" s="94">
        <f t="shared" si="117"/>
        <v>0</v>
      </c>
      <c r="FG33" s="94">
        <f t="shared" si="118"/>
        <v>0</v>
      </c>
      <c r="FH33" s="28">
        <f t="shared" si="119"/>
        <v>0</v>
      </c>
      <c r="FI33" s="90">
        <f t="shared" si="77"/>
        <v>0</v>
      </c>
      <c r="FJ33" s="94">
        <f t="shared" si="78"/>
        <v>0</v>
      </c>
      <c r="FK33" s="94">
        <f t="shared" si="79"/>
        <v>0</v>
      </c>
      <c r="FL33" s="28">
        <f t="shared" si="80"/>
        <v>0</v>
      </c>
      <c r="FM33" s="90">
        <f t="shared" si="107"/>
        <v>0</v>
      </c>
      <c r="FN33" s="94">
        <f t="shared" si="108"/>
        <v>0</v>
      </c>
      <c r="FO33" s="94">
        <f t="shared" si="109"/>
        <v>0</v>
      </c>
      <c r="FP33" s="28">
        <f t="shared" si="110"/>
        <v>0</v>
      </c>
      <c r="FR33" s="19">
        <f t="shared" si="81"/>
        <v>0</v>
      </c>
      <c r="FS33" s="22">
        <f t="shared" si="82"/>
        <v>0</v>
      </c>
      <c r="FT33" s="22">
        <f t="shared" si="83"/>
        <v>1</v>
      </c>
      <c r="FU33" s="22">
        <f t="shared" si="84"/>
        <v>11</v>
      </c>
      <c r="FV33" s="22">
        <f t="shared" si="85"/>
        <v>30</v>
      </c>
      <c r="FW33" s="22">
        <f t="shared" si="111"/>
        <v>14</v>
      </c>
      <c r="FX33" s="22">
        <f t="shared" si="112"/>
        <v>0</v>
      </c>
      <c r="FY33" s="22">
        <f t="shared" si="113"/>
        <v>0</v>
      </c>
      <c r="FZ33" s="94">
        <f t="shared" si="86"/>
        <v>0</v>
      </c>
      <c r="GA33" s="28">
        <f t="shared" si="114"/>
        <v>0</v>
      </c>
    </row>
    <row r="34" spans="1:183">
      <c r="A34" s="125" t="s">
        <v>1587</v>
      </c>
      <c r="B34" s="261"/>
      <c r="C34">
        <v>0</v>
      </c>
      <c r="D34">
        <v>0</v>
      </c>
      <c r="E34">
        <v>0</v>
      </c>
      <c r="F34">
        <v>0</v>
      </c>
      <c r="G34">
        <v>0</v>
      </c>
      <c r="H34">
        <v>0</v>
      </c>
      <c r="I34">
        <v>0</v>
      </c>
      <c r="J34">
        <v>0</v>
      </c>
      <c r="K34">
        <v>0</v>
      </c>
      <c r="L34">
        <v>0</v>
      </c>
      <c r="N34" s="22">
        <v>0</v>
      </c>
      <c r="O34" s="22">
        <v>0</v>
      </c>
      <c r="P34" s="22">
        <v>0</v>
      </c>
      <c r="Q34" s="22">
        <v>0</v>
      </c>
      <c r="R34" s="22">
        <v>0</v>
      </c>
      <c r="S34" s="22">
        <v>0</v>
      </c>
      <c r="T34" s="22">
        <v>0</v>
      </c>
      <c r="U34" s="22">
        <v>0</v>
      </c>
      <c r="V34" s="22">
        <v>0</v>
      </c>
      <c r="W34" s="22">
        <v>0</v>
      </c>
      <c r="X34" s="22">
        <v>0</v>
      </c>
      <c r="Y34" s="12">
        <v>0</v>
      </c>
      <c r="Z34" s="19">
        <v>2</v>
      </c>
      <c r="AA34" s="22">
        <v>0</v>
      </c>
      <c r="AB34" s="22">
        <v>0</v>
      </c>
      <c r="AC34" s="22">
        <v>0</v>
      </c>
      <c r="AD34" s="22">
        <v>0</v>
      </c>
      <c r="AE34" s="22">
        <v>0</v>
      </c>
      <c r="AF34" s="22">
        <v>0</v>
      </c>
      <c r="AG34" s="22">
        <v>0</v>
      </c>
      <c r="AH34" s="22">
        <v>0</v>
      </c>
      <c r="AI34" s="22">
        <v>0</v>
      </c>
      <c r="AJ34" s="22">
        <v>0</v>
      </c>
      <c r="AK34" s="12">
        <v>0</v>
      </c>
      <c r="AL34" s="19">
        <v>0</v>
      </c>
      <c r="AM34" s="22">
        <v>0</v>
      </c>
      <c r="AN34" s="22">
        <v>0</v>
      </c>
      <c r="AO34" s="22">
        <v>1</v>
      </c>
      <c r="AP34" s="22">
        <v>1</v>
      </c>
      <c r="AQ34" s="22">
        <v>1</v>
      </c>
      <c r="AR34" s="22">
        <v>0</v>
      </c>
      <c r="AS34" s="22">
        <v>0</v>
      </c>
      <c r="AT34" s="22">
        <v>0</v>
      </c>
      <c r="AU34" s="22">
        <v>0</v>
      </c>
      <c r="AV34" s="22">
        <v>2</v>
      </c>
      <c r="AW34" s="22">
        <v>0</v>
      </c>
      <c r="AX34" s="19">
        <v>0</v>
      </c>
      <c r="AY34" s="22">
        <v>0</v>
      </c>
      <c r="AZ34" s="22">
        <v>0</v>
      </c>
      <c r="BA34" s="22">
        <v>0</v>
      </c>
      <c r="BB34" s="22">
        <v>0</v>
      </c>
      <c r="BC34" s="22">
        <v>0</v>
      </c>
      <c r="BD34" s="22">
        <v>0</v>
      </c>
      <c r="BE34" s="22">
        <v>0</v>
      </c>
      <c r="BF34" s="22">
        <v>2</v>
      </c>
      <c r="BG34" s="22">
        <v>0</v>
      </c>
      <c r="BH34" s="22">
        <v>0</v>
      </c>
      <c r="BI34" s="12">
        <v>0</v>
      </c>
      <c r="BJ34" s="22">
        <v>0</v>
      </c>
      <c r="BK34" s="22">
        <v>0</v>
      </c>
      <c r="BL34" s="22">
        <v>0</v>
      </c>
      <c r="BM34" s="22">
        <v>2</v>
      </c>
      <c r="BN34" s="22">
        <v>0</v>
      </c>
      <c r="BO34" s="22">
        <v>0</v>
      </c>
      <c r="BP34" s="22">
        <v>0</v>
      </c>
      <c r="BQ34" s="22">
        <v>1</v>
      </c>
      <c r="BR34" s="22">
        <v>1</v>
      </c>
      <c r="BS34" s="22">
        <v>0</v>
      </c>
      <c r="BT34" s="22">
        <v>0</v>
      </c>
      <c r="BU34" s="12">
        <v>2</v>
      </c>
      <c r="BV34" s="22">
        <v>0</v>
      </c>
      <c r="BW34" s="22">
        <v>0</v>
      </c>
      <c r="BX34" s="22">
        <v>3</v>
      </c>
      <c r="BY34" s="22">
        <v>0</v>
      </c>
      <c r="BZ34" s="22">
        <v>0</v>
      </c>
      <c r="CA34" s="22">
        <v>0</v>
      </c>
      <c r="CB34" s="22">
        <v>0</v>
      </c>
      <c r="CC34" s="22">
        <v>0</v>
      </c>
      <c r="CD34" s="22">
        <v>0</v>
      </c>
      <c r="CE34" s="22">
        <v>0</v>
      </c>
      <c r="CF34" s="22">
        <v>0</v>
      </c>
      <c r="CG34" s="22">
        <v>0</v>
      </c>
      <c r="CH34" s="19">
        <v>0</v>
      </c>
      <c r="CI34" s="22">
        <v>0</v>
      </c>
      <c r="CJ34" s="22">
        <v>0</v>
      </c>
      <c r="CK34" s="22">
        <v>0</v>
      </c>
      <c r="CL34" s="22">
        <v>0</v>
      </c>
      <c r="CM34" s="22">
        <v>0</v>
      </c>
      <c r="CN34" s="22">
        <v>0</v>
      </c>
      <c r="CO34" s="22">
        <v>1</v>
      </c>
      <c r="CP34" s="22">
        <v>0</v>
      </c>
      <c r="CQ34" s="22">
        <v>1</v>
      </c>
      <c r="CR34" s="22">
        <v>0</v>
      </c>
      <c r="CS34" s="12">
        <v>0</v>
      </c>
      <c r="CT34" s="19">
        <v>0</v>
      </c>
      <c r="CU34" s="22">
        <v>1</v>
      </c>
      <c r="CV34" s="22">
        <v>0</v>
      </c>
      <c r="CW34" s="22">
        <v>0</v>
      </c>
      <c r="CX34" s="22">
        <v>0</v>
      </c>
      <c r="CY34" s="22">
        <v>0</v>
      </c>
      <c r="CZ34" s="22">
        <v>0</v>
      </c>
      <c r="DA34" s="22">
        <v>0</v>
      </c>
      <c r="DB34" s="22">
        <v>0</v>
      </c>
      <c r="DC34" s="22">
        <v>0</v>
      </c>
      <c r="DD34" s="22">
        <v>0</v>
      </c>
      <c r="DE34" s="12">
        <v>0</v>
      </c>
      <c r="DF34" s="19">
        <v>0</v>
      </c>
      <c r="DG34" s="22">
        <v>0</v>
      </c>
      <c r="DH34" s="22">
        <v>0</v>
      </c>
      <c r="DI34" s="22">
        <v>0</v>
      </c>
      <c r="DJ34" s="22">
        <v>0</v>
      </c>
      <c r="DK34" s="22">
        <v>0</v>
      </c>
      <c r="DL34" s="22">
        <v>0</v>
      </c>
      <c r="DM34" s="22">
        <v>0</v>
      </c>
      <c r="DN34" s="22">
        <v>0</v>
      </c>
      <c r="DO34" s="22">
        <v>0</v>
      </c>
      <c r="DP34" s="22">
        <v>0</v>
      </c>
      <c r="DQ34" s="12">
        <v>0</v>
      </c>
      <c r="DR34" s="19">
        <v>0</v>
      </c>
      <c r="DS34" s="22">
        <v>0</v>
      </c>
      <c r="DT34" s="22">
        <v>0</v>
      </c>
      <c r="DU34" s="22">
        <v>0</v>
      </c>
      <c r="DV34" s="22">
        <v>0</v>
      </c>
      <c r="DW34" s="22">
        <v>0</v>
      </c>
      <c r="DX34" s="22">
        <v>0</v>
      </c>
      <c r="DY34" s="22">
        <v>0</v>
      </c>
      <c r="DZ34" s="22">
        <v>0</v>
      </c>
      <c r="EA34" s="22">
        <v>0</v>
      </c>
      <c r="EB34" s="22">
        <v>0</v>
      </c>
      <c r="EC34" s="12">
        <v>0</v>
      </c>
      <c r="ED34" s="12">
        <f t="shared" si="127"/>
        <v>21</v>
      </c>
      <c r="EF34" s="6">
        <f t="shared" si="87"/>
        <v>0</v>
      </c>
      <c r="EG34" s="19">
        <f t="shared" si="88"/>
        <v>2</v>
      </c>
      <c r="EH34" s="22">
        <f t="shared" si="89"/>
        <v>0</v>
      </c>
      <c r="EI34" s="22">
        <f t="shared" si="90"/>
        <v>0</v>
      </c>
      <c r="EJ34" s="12">
        <f t="shared" si="91"/>
        <v>0</v>
      </c>
      <c r="EK34" s="22">
        <f t="shared" si="92"/>
        <v>0</v>
      </c>
      <c r="EL34" s="22">
        <f t="shared" si="93"/>
        <v>3</v>
      </c>
      <c r="EM34" s="22">
        <f t="shared" si="94"/>
        <v>0</v>
      </c>
      <c r="EN34" s="12">
        <f t="shared" si="95"/>
        <v>2</v>
      </c>
      <c r="EO34" s="22">
        <f t="shared" si="96"/>
        <v>0</v>
      </c>
      <c r="EP34" s="22">
        <f t="shared" si="97"/>
        <v>0</v>
      </c>
      <c r="EQ34" s="22">
        <f t="shared" si="98"/>
        <v>2</v>
      </c>
      <c r="ER34" s="12">
        <f t="shared" si="69"/>
        <v>2</v>
      </c>
      <c r="ES34" s="90">
        <f t="shared" si="70"/>
        <v>0</v>
      </c>
      <c r="ET34" s="94">
        <f t="shared" si="71"/>
        <v>2</v>
      </c>
      <c r="EU34" s="94">
        <f t="shared" si="99"/>
        <v>2</v>
      </c>
      <c r="EV34" s="28">
        <f t="shared" si="72"/>
        <v>2</v>
      </c>
      <c r="EW34" s="90">
        <f t="shared" si="115"/>
        <v>3</v>
      </c>
      <c r="EX34" s="94">
        <f t="shared" si="100"/>
        <v>0</v>
      </c>
      <c r="EY34" s="94">
        <f t="shared" si="101"/>
        <v>0</v>
      </c>
      <c r="EZ34" s="28">
        <f t="shared" si="102"/>
        <v>0</v>
      </c>
      <c r="FA34" s="90">
        <f t="shared" si="103"/>
        <v>0</v>
      </c>
      <c r="FB34" s="94">
        <f t="shared" si="104"/>
        <v>0</v>
      </c>
      <c r="FC34" s="94">
        <f t="shared" si="105"/>
        <v>1</v>
      </c>
      <c r="FD34" s="28">
        <f t="shared" si="106"/>
        <v>1</v>
      </c>
      <c r="FE34" s="90">
        <f t="shared" si="116"/>
        <v>1</v>
      </c>
      <c r="FF34" s="94">
        <f t="shared" si="117"/>
        <v>0</v>
      </c>
      <c r="FG34" s="94">
        <f t="shared" si="118"/>
        <v>0</v>
      </c>
      <c r="FH34" s="28">
        <f t="shared" si="119"/>
        <v>0</v>
      </c>
      <c r="FI34" s="90">
        <f t="shared" si="77"/>
        <v>0</v>
      </c>
      <c r="FJ34" s="94">
        <f t="shared" si="78"/>
        <v>0</v>
      </c>
      <c r="FK34" s="94">
        <f t="shared" si="79"/>
        <v>0</v>
      </c>
      <c r="FL34" s="28">
        <f t="shared" si="80"/>
        <v>0</v>
      </c>
      <c r="FM34" s="90">
        <f t="shared" si="107"/>
        <v>0</v>
      </c>
      <c r="FN34" s="94">
        <f t="shared" si="108"/>
        <v>0</v>
      </c>
      <c r="FO34" s="94">
        <f t="shared" si="109"/>
        <v>0</v>
      </c>
      <c r="FP34" s="28">
        <f t="shared" si="110"/>
        <v>0</v>
      </c>
      <c r="FR34" s="19">
        <f t="shared" si="81"/>
        <v>0</v>
      </c>
      <c r="FS34" s="22">
        <f t="shared" si="82"/>
        <v>2</v>
      </c>
      <c r="FT34" s="22">
        <f t="shared" si="83"/>
        <v>5</v>
      </c>
      <c r="FU34" s="22">
        <f t="shared" si="84"/>
        <v>4</v>
      </c>
      <c r="FV34" s="22">
        <f t="shared" si="85"/>
        <v>6</v>
      </c>
      <c r="FW34" s="22">
        <f t="shared" si="111"/>
        <v>3</v>
      </c>
      <c r="FX34" s="22">
        <f t="shared" si="112"/>
        <v>2</v>
      </c>
      <c r="FY34" s="22">
        <f t="shared" si="113"/>
        <v>1</v>
      </c>
      <c r="FZ34" s="94">
        <f t="shared" si="86"/>
        <v>0</v>
      </c>
      <c r="GA34" s="28">
        <f t="shared" si="114"/>
        <v>0</v>
      </c>
    </row>
    <row r="35" spans="1:183">
      <c r="A35" s="125" t="s">
        <v>847</v>
      </c>
      <c r="B35" s="261"/>
      <c r="C35">
        <v>0</v>
      </c>
      <c r="D35">
        <v>0</v>
      </c>
      <c r="E35">
        <v>0</v>
      </c>
      <c r="F35">
        <v>0</v>
      </c>
      <c r="G35">
        <v>0</v>
      </c>
      <c r="H35">
        <v>0</v>
      </c>
      <c r="I35">
        <v>0</v>
      </c>
      <c r="J35">
        <v>0</v>
      </c>
      <c r="K35">
        <v>0</v>
      </c>
      <c r="L35">
        <v>0</v>
      </c>
      <c r="N35" s="22">
        <v>0</v>
      </c>
      <c r="O35" s="22">
        <v>0</v>
      </c>
      <c r="P35" s="22">
        <v>0</v>
      </c>
      <c r="Q35" s="22">
        <v>0</v>
      </c>
      <c r="R35" s="22">
        <v>0</v>
      </c>
      <c r="S35" s="22">
        <v>0</v>
      </c>
      <c r="T35" s="22">
        <v>0</v>
      </c>
      <c r="U35" s="22">
        <v>0</v>
      </c>
      <c r="V35" s="22">
        <v>0</v>
      </c>
      <c r="W35" s="22">
        <v>0</v>
      </c>
      <c r="X35" s="22">
        <v>2</v>
      </c>
      <c r="Y35" s="12">
        <v>0</v>
      </c>
      <c r="Z35" s="19">
        <v>1</v>
      </c>
      <c r="AA35" s="22">
        <v>0</v>
      </c>
      <c r="AB35" s="22">
        <v>0</v>
      </c>
      <c r="AC35" s="22">
        <v>1</v>
      </c>
      <c r="AD35" s="22">
        <v>0</v>
      </c>
      <c r="AE35" s="22">
        <v>0</v>
      </c>
      <c r="AF35" s="22">
        <v>0</v>
      </c>
      <c r="AG35" s="22">
        <v>0</v>
      </c>
      <c r="AH35" s="22">
        <v>0</v>
      </c>
      <c r="AI35" s="22">
        <v>0</v>
      </c>
      <c r="AJ35" s="22">
        <v>1</v>
      </c>
      <c r="AK35" s="12">
        <v>0</v>
      </c>
      <c r="AL35" s="19">
        <v>0</v>
      </c>
      <c r="AM35" s="22">
        <v>0</v>
      </c>
      <c r="AN35" s="22">
        <v>0</v>
      </c>
      <c r="AO35" s="22">
        <v>0</v>
      </c>
      <c r="AP35" s="22">
        <v>0</v>
      </c>
      <c r="AQ35" s="22">
        <v>1</v>
      </c>
      <c r="AR35" s="22">
        <v>1</v>
      </c>
      <c r="AS35" s="22">
        <v>0</v>
      </c>
      <c r="AT35" s="22">
        <v>1</v>
      </c>
      <c r="AU35" s="22">
        <v>0</v>
      </c>
      <c r="AV35" s="22">
        <v>0</v>
      </c>
      <c r="AW35" s="22">
        <v>0</v>
      </c>
      <c r="AX35" s="19">
        <v>0</v>
      </c>
      <c r="AY35" s="22">
        <v>0</v>
      </c>
      <c r="AZ35" s="22">
        <v>0</v>
      </c>
      <c r="BA35" s="22">
        <v>0</v>
      </c>
      <c r="BB35" s="22">
        <v>0</v>
      </c>
      <c r="BC35" s="22">
        <v>0</v>
      </c>
      <c r="BD35" s="22">
        <v>0</v>
      </c>
      <c r="BE35" s="22">
        <v>6</v>
      </c>
      <c r="BF35" s="22">
        <v>7</v>
      </c>
      <c r="BG35" s="22">
        <v>0</v>
      </c>
      <c r="BH35" s="22">
        <v>0</v>
      </c>
      <c r="BI35" s="12">
        <v>0</v>
      </c>
      <c r="BJ35" s="22">
        <v>0</v>
      </c>
      <c r="BK35" s="22">
        <v>0</v>
      </c>
      <c r="BL35" s="22">
        <v>1</v>
      </c>
      <c r="BM35" s="22">
        <v>0</v>
      </c>
      <c r="BN35" s="22">
        <v>0</v>
      </c>
      <c r="BO35" s="22">
        <v>0</v>
      </c>
      <c r="BP35" s="22">
        <v>0</v>
      </c>
      <c r="BQ35" s="22">
        <v>0</v>
      </c>
      <c r="BR35" s="22">
        <v>0</v>
      </c>
      <c r="BS35" s="22">
        <v>0</v>
      </c>
      <c r="BT35" s="22">
        <v>0</v>
      </c>
      <c r="BU35" s="12">
        <v>0</v>
      </c>
      <c r="BV35" s="22">
        <v>0</v>
      </c>
      <c r="BW35" s="22">
        <v>0</v>
      </c>
      <c r="BX35" s="22">
        <v>0</v>
      </c>
      <c r="BY35" s="22">
        <v>0</v>
      </c>
      <c r="BZ35" s="22">
        <v>1</v>
      </c>
      <c r="CA35" s="22">
        <v>1</v>
      </c>
      <c r="CB35" s="22">
        <v>0</v>
      </c>
      <c r="CC35" s="22">
        <v>0</v>
      </c>
      <c r="CD35" s="22">
        <v>0</v>
      </c>
      <c r="CE35" s="22">
        <v>0</v>
      </c>
      <c r="CF35" s="22">
        <v>0</v>
      </c>
      <c r="CG35" s="22">
        <v>0</v>
      </c>
      <c r="CH35" s="19">
        <v>0</v>
      </c>
      <c r="CI35" s="22">
        <v>0</v>
      </c>
      <c r="CJ35" s="22">
        <v>2</v>
      </c>
      <c r="CK35" s="22">
        <v>0</v>
      </c>
      <c r="CL35" s="22">
        <v>0</v>
      </c>
      <c r="CM35" s="22">
        <v>0</v>
      </c>
      <c r="CN35" s="22">
        <v>0</v>
      </c>
      <c r="CO35" s="22">
        <v>0</v>
      </c>
      <c r="CP35" s="22">
        <v>0</v>
      </c>
      <c r="CQ35" s="22">
        <v>0</v>
      </c>
      <c r="CR35" s="22">
        <v>0</v>
      </c>
      <c r="CS35" s="12">
        <v>3</v>
      </c>
      <c r="CT35" s="19">
        <v>12</v>
      </c>
      <c r="CU35" s="22">
        <v>0</v>
      </c>
      <c r="CV35" s="22">
        <v>0</v>
      </c>
      <c r="CW35" s="22">
        <v>0</v>
      </c>
      <c r="CX35" s="22">
        <v>0</v>
      </c>
      <c r="CY35" s="22">
        <v>0</v>
      </c>
      <c r="CZ35" s="22">
        <v>0</v>
      </c>
      <c r="DA35" s="22">
        <v>0</v>
      </c>
      <c r="DB35" s="22">
        <v>0</v>
      </c>
      <c r="DC35" s="22">
        <v>0</v>
      </c>
      <c r="DD35" s="22">
        <v>0</v>
      </c>
      <c r="DE35" s="12">
        <v>0</v>
      </c>
      <c r="DF35" s="19">
        <v>0</v>
      </c>
      <c r="DG35" s="22">
        <v>0</v>
      </c>
      <c r="DH35" s="22">
        <v>0</v>
      </c>
      <c r="DI35" s="22">
        <v>0</v>
      </c>
      <c r="DJ35" s="22">
        <v>0</v>
      </c>
      <c r="DK35" s="22">
        <v>0</v>
      </c>
      <c r="DL35" s="22">
        <v>0</v>
      </c>
      <c r="DM35" s="22">
        <v>0</v>
      </c>
      <c r="DN35" s="22">
        <v>0</v>
      </c>
      <c r="DO35" s="22">
        <v>0</v>
      </c>
      <c r="DP35" s="22">
        <v>0</v>
      </c>
      <c r="DQ35" s="12">
        <v>0</v>
      </c>
      <c r="DR35" s="19">
        <v>0</v>
      </c>
      <c r="DS35" s="22">
        <v>0</v>
      </c>
      <c r="DT35" s="22">
        <v>0</v>
      </c>
      <c r="DU35" s="22">
        <v>0</v>
      </c>
      <c r="DV35" s="22">
        <v>0</v>
      </c>
      <c r="DW35" s="22">
        <v>0</v>
      </c>
      <c r="DX35" s="22">
        <v>0</v>
      </c>
      <c r="DY35" s="22">
        <v>0</v>
      </c>
      <c r="DZ35" s="22">
        <v>0</v>
      </c>
      <c r="EA35" s="22">
        <v>0</v>
      </c>
      <c r="EB35" s="22">
        <v>0</v>
      </c>
      <c r="EC35" s="12">
        <v>0</v>
      </c>
      <c r="ED35" s="12">
        <f t="shared" si="127"/>
        <v>41</v>
      </c>
      <c r="EF35" s="6">
        <f t="shared" si="87"/>
        <v>2</v>
      </c>
      <c r="EG35" s="19">
        <f t="shared" si="88"/>
        <v>1</v>
      </c>
      <c r="EH35" s="22">
        <f t="shared" si="89"/>
        <v>1</v>
      </c>
      <c r="EI35" s="22">
        <f t="shared" si="90"/>
        <v>0</v>
      </c>
      <c r="EJ35" s="12">
        <f t="shared" si="91"/>
        <v>1</v>
      </c>
      <c r="EK35" s="22">
        <f t="shared" si="92"/>
        <v>0</v>
      </c>
      <c r="EL35" s="22">
        <f t="shared" si="93"/>
        <v>1</v>
      </c>
      <c r="EM35" s="22">
        <f t="shared" si="94"/>
        <v>2</v>
      </c>
      <c r="EN35" s="12">
        <f t="shared" si="95"/>
        <v>0</v>
      </c>
      <c r="EO35" s="22">
        <f t="shared" si="96"/>
        <v>0</v>
      </c>
      <c r="EP35" s="22">
        <f t="shared" si="97"/>
        <v>0</v>
      </c>
      <c r="EQ35" s="22">
        <f t="shared" si="98"/>
        <v>13</v>
      </c>
      <c r="ER35" s="12">
        <f t="shared" si="69"/>
        <v>0</v>
      </c>
      <c r="ES35" s="90">
        <f t="shared" si="70"/>
        <v>1</v>
      </c>
      <c r="ET35" s="94">
        <f t="shared" si="71"/>
        <v>0</v>
      </c>
      <c r="EU35" s="94">
        <f t="shared" si="99"/>
        <v>0</v>
      </c>
      <c r="EV35" s="28">
        <f t="shared" si="72"/>
        <v>0</v>
      </c>
      <c r="EW35" s="90">
        <f t="shared" si="115"/>
        <v>0</v>
      </c>
      <c r="EX35" s="94">
        <f t="shared" si="100"/>
        <v>2</v>
      </c>
      <c r="EY35" s="94">
        <f t="shared" si="101"/>
        <v>0</v>
      </c>
      <c r="EZ35" s="28">
        <f t="shared" si="102"/>
        <v>0</v>
      </c>
      <c r="FA35" s="90">
        <f t="shared" si="103"/>
        <v>2</v>
      </c>
      <c r="FB35" s="94">
        <f t="shared" si="104"/>
        <v>0</v>
      </c>
      <c r="FC35" s="94">
        <f t="shared" si="105"/>
        <v>0</v>
      </c>
      <c r="FD35" s="28">
        <f t="shared" si="106"/>
        <v>3</v>
      </c>
      <c r="FE35" s="90">
        <f t="shared" si="116"/>
        <v>12</v>
      </c>
      <c r="FF35" s="94">
        <f t="shared" si="117"/>
        <v>0</v>
      </c>
      <c r="FG35" s="94">
        <f t="shared" si="118"/>
        <v>0</v>
      </c>
      <c r="FH35" s="28">
        <f t="shared" si="119"/>
        <v>0</v>
      </c>
      <c r="FI35" s="90">
        <f t="shared" si="77"/>
        <v>0</v>
      </c>
      <c r="FJ35" s="94">
        <f t="shared" si="78"/>
        <v>0</v>
      </c>
      <c r="FK35" s="94">
        <f t="shared" si="79"/>
        <v>0</v>
      </c>
      <c r="FL35" s="28">
        <f t="shared" si="80"/>
        <v>0</v>
      </c>
      <c r="FM35" s="90">
        <f t="shared" si="107"/>
        <v>0</v>
      </c>
      <c r="FN35" s="94">
        <f t="shared" si="108"/>
        <v>0</v>
      </c>
      <c r="FO35" s="94">
        <f t="shared" si="109"/>
        <v>0</v>
      </c>
      <c r="FP35" s="28">
        <f t="shared" si="110"/>
        <v>0</v>
      </c>
      <c r="FR35" s="19">
        <f t="shared" si="81"/>
        <v>2</v>
      </c>
      <c r="FS35" s="22">
        <f t="shared" si="82"/>
        <v>3</v>
      </c>
      <c r="FT35" s="22">
        <f t="shared" si="83"/>
        <v>3</v>
      </c>
      <c r="FU35" s="22">
        <f t="shared" si="84"/>
        <v>13</v>
      </c>
      <c r="FV35" s="22">
        <f t="shared" si="85"/>
        <v>1</v>
      </c>
      <c r="FW35" s="22">
        <f t="shared" si="111"/>
        <v>2</v>
      </c>
      <c r="FX35" s="22">
        <f t="shared" si="112"/>
        <v>5</v>
      </c>
      <c r="FY35" s="22">
        <f t="shared" si="113"/>
        <v>12</v>
      </c>
      <c r="FZ35" s="94">
        <f t="shared" si="86"/>
        <v>0</v>
      </c>
      <c r="GA35" s="28">
        <f t="shared" si="114"/>
        <v>0</v>
      </c>
    </row>
    <row r="36" spans="1:183">
      <c r="A36" s="125" t="s">
        <v>833</v>
      </c>
      <c r="B36" s="261"/>
      <c r="C36">
        <v>0</v>
      </c>
      <c r="D36">
        <v>0</v>
      </c>
      <c r="E36">
        <v>0</v>
      </c>
      <c r="F36">
        <v>0</v>
      </c>
      <c r="G36">
        <v>0</v>
      </c>
      <c r="H36">
        <v>0</v>
      </c>
      <c r="I36">
        <v>0</v>
      </c>
      <c r="J36">
        <v>0</v>
      </c>
      <c r="K36">
        <v>0</v>
      </c>
      <c r="L36">
        <v>0</v>
      </c>
      <c r="N36" s="22">
        <v>0</v>
      </c>
      <c r="O36" s="22">
        <v>0</v>
      </c>
      <c r="P36" s="22">
        <v>0</v>
      </c>
      <c r="Q36" s="22">
        <v>0</v>
      </c>
      <c r="R36" s="22">
        <v>0</v>
      </c>
      <c r="S36" s="22">
        <v>0</v>
      </c>
      <c r="T36" s="22">
        <v>0</v>
      </c>
      <c r="U36" s="22">
        <v>0</v>
      </c>
      <c r="V36" s="22">
        <v>0</v>
      </c>
      <c r="W36" s="22">
        <v>0</v>
      </c>
      <c r="X36" s="22">
        <v>0</v>
      </c>
      <c r="Y36" s="12">
        <v>1</v>
      </c>
      <c r="Z36" s="19">
        <v>0</v>
      </c>
      <c r="AA36" s="22">
        <v>0</v>
      </c>
      <c r="AB36" s="22">
        <v>0</v>
      </c>
      <c r="AC36" s="22">
        <v>0</v>
      </c>
      <c r="AD36" s="22">
        <v>0</v>
      </c>
      <c r="AE36" s="22">
        <v>0</v>
      </c>
      <c r="AF36" s="22">
        <v>0</v>
      </c>
      <c r="AG36" s="22">
        <v>0</v>
      </c>
      <c r="AH36" s="22">
        <v>0</v>
      </c>
      <c r="AI36" s="22">
        <v>0</v>
      </c>
      <c r="AJ36" s="22">
        <v>0</v>
      </c>
      <c r="AK36" s="12">
        <v>0</v>
      </c>
      <c r="AL36" s="19">
        <v>1</v>
      </c>
      <c r="AM36" s="22">
        <v>0</v>
      </c>
      <c r="AN36" s="22">
        <v>0</v>
      </c>
      <c r="AO36" s="22">
        <v>0</v>
      </c>
      <c r="AP36" s="22">
        <v>0</v>
      </c>
      <c r="AQ36" s="22">
        <v>0</v>
      </c>
      <c r="AR36" s="22">
        <v>8</v>
      </c>
      <c r="AS36" s="22">
        <v>0</v>
      </c>
      <c r="AT36" s="22">
        <v>0</v>
      </c>
      <c r="AU36" s="22">
        <v>0</v>
      </c>
      <c r="AV36" s="22">
        <v>0</v>
      </c>
      <c r="AW36" s="22">
        <v>0</v>
      </c>
      <c r="AX36" s="19">
        <v>0</v>
      </c>
      <c r="AY36" s="22">
        <v>0</v>
      </c>
      <c r="AZ36" s="22">
        <v>0</v>
      </c>
      <c r="BA36" s="22">
        <v>0</v>
      </c>
      <c r="BB36" s="22">
        <v>0</v>
      </c>
      <c r="BC36" s="22">
        <v>0</v>
      </c>
      <c r="BD36" s="22">
        <v>0</v>
      </c>
      <c r="BE36" s="22">
        <v>1</v>
      </c>
      <c r="BF36" s="22">
        <v>0</v>
      </c>
      <c r="BG36" s="22">
        <v>0</v>
      </c>
      <c r="BH36" s="22">
        <v>0</v>
      </c>
      <c r="BI36" s="12">
        <v>0</v>
      </c>
      <c r="BJ36" s="22">
        <v>1</v>
      </c>
      <c r="BK36" s="22">
        <v>0</v>
      </c>
      <c r="BL36" s="22">
        <v>0</v>
      </c>
      <c r="BM36" s="22">
        <v>0</v>
      </c>
      <c r="BN36" s="22">
        <v>0</v>
      </c>
      <c r="BO36" s="22">
        <v>0</v>
      </c>
      <c r="BP36" s="22">
        <v>0</v>
      </c>
      <c r="BQ36" s="22">
        <v>0</v>
      </c>
      <c r="BR36" s="22">
        <v>0</v>
      </c>
      <c r="BS36" s="22">
        <v>0</v>
      </c>
      <c r="BT36" s="22">
        <v>1</v>
      </c>
      <c r="BU36" s="12">
        <v>0</v>
      </c>
      <c r="BV36" s="22">
        <v>0</v>
      </c>
      <c r="BW36" s="22">
        <v>0</v>
      </c>
      <c r="BX36" s="22">
        <v>0</v>
      </c>
      <c r="BY36" s="22">
        <v>0</v>
      </c>
      <c r="BZ36" s="22">
        <v>0</v>
      </c>
      <c r="CA36" s="22">
        <v>0</v>
      </c>
      <c r="CB36" s="22">
        <v>0</v>
      </c>
      <c r="CC36" s="22">
        <v>0</v>
      </c>
      <c r="CD36" s="22">
        <v>0</v>
      </c>
      <c r="CE36" s="22">
        <v>0</v>
      </c>
      <c r="CF36" s="22">
        <v>0</v>
      </c>
      <c r="CG36" s="22">
        <v>0</v>
      </c>
      <c r="CH36" s="19">
        <v>0</v>
      </c>
      <c r="CI36" s="22">
        <v>0</v>
      </c>
      <c r="CJ36" s="22">
        <v>0</v>
      </c>
      <c r="CK36" s="22">
        <v>0</v>
      </c>
      <c r="CL36" s="22">
        <v>0</v>
      </c>
      <c r="CM36" s="22">
        <v>0</v>
      </c>
      <c r="CN36" s="22">
        <v>0</v>
      </c>
      <c r="CO36" s="22">
        <v>0</v>
      </c>
      <c r="CP36" s="22">
        <v>0</v>
      </c>
      <c r="CQ36" s="22">
        <v>0</v>
      </c>
      <c r="CR36" s="22">
        <v>0</v>
      </c>
      <c r="CS36" s="12">
        <v>0</v>
      </c>
      <c r="CT36" s="19">
        <v>0</v>
      </c>
      <c r="CU36" s="22">
        <v>0</v>
      </c>
      <c r="CV36" s="22">
        <v>0</v>
      </c>
      <c r="CW36" s="22">
        <v>0</v>
      </c>
      <c r="CX36" s="22">
        <v>0</v>
      </c>
      <c r="CY36" s="22">
        <v>0</v>
      </c>
      <c r="CZ36" s="22">
        <v>0</v>
      </c>
      <c r="DA36" s="22">
        <v>0</v>
      </c>
      <c r="DB36" s="22">
        <v>0</v>
      </c>
      <c r="DC36" s="22">
        <v>0</v>
      </c>
      <c r="DD36" s="22">
        <v>0</v>
      </c>
      <c r="DE36" s="12">
        <v>0</v>
      </c>
      <c r="DF36" s="19">
        <v>0</v>
      </c>
      <c r="DG36" s="22">
        <v>0</v>
      </c>
      <c r="DH36" s="22">
        <v>0</v>
      </c>
      <c r="DI36" s="22">
        <v>0</v>
      </c>
      <c r="DJ36" s="22">
        <v>0</v>
      </c>
      <c r="DK36" s="22">
        <v>0</v>
      </c>
      <c r="DL36" s="22">
        <v>0</v>
      </c>
      <c r="DM36" s="22">
        <v>0</v>
      </c>
      <c r="DN36" s="22">
        <v>0</v>
      </c>
      <c r="DO36" s="22">
        <v>0</v>
      </c>
      <c r="DP36" s="22">
        <v>0</v>
      </c>
      <c r="DQ36" s="12">
        <v>0</v>
      </c>
      <c r="DR36" s="19">
        <v>0</v>
      </c>
      <c r="DS36" s="22">
        <v>0</v>
      </c>
      <c r="DT36" s="22">
        <v>0</v>
      </c>
      <c r="DU36" s="22">
        <v>0</v>
      </c>
      <c r="DV36" s="22">
        <v>0</v>
      </c>
      <c r="DW36" s="22">
        <v>0</v>
      </c>
      <c r="DX36" s="22">
        <v>0</v>
      </c>
      <c r="DY36" s="22">
        <v>0</v>
      </c>
      <c r="DZ36" s="22">
        <v>0</v>
      </c>
      <c r="EA36" s="22">
        <v>0</v>
      </c>
      <c r="EB36" s="22">
        <v>0</v>
      </c>
      <c r="EC36" s="12">
        <v>0</v>
      </c>
      <c r="ED36" s="12">
        <f t="shared" si="127"/>
        <v>13</v>
      </c>
      <c r="EF36" s="6">
        <f t="shared" si="87"/>
        <v>1</v>
      </c>
      <c r="EG36" s="19">
        <f t="shared" si="88"/>
        <v>0</v>
      </c>
      <c r="EH36" s="22">
        <f t="shared" si="89"/>
        <v>0</v>
      </c>
      <c r="EI36" s="22">
        <f t="shared" si="90"/>
        <v>0</v>
      </c>
      <c r="EJ36" s="12">
        <f t="shared" si="91"/>
        <v>0</v>
      </c>
      <c r="EK36" s="22">
        <f t="shared" si="92"/>
        <v>1</v>
      </c>
      <c r="EL36" s="22">
        <f t="shared" si="93"/>
        <v>0</v>
      </c>
      <c r="EM36" s="22">
        <f t="shared" si="94"/>
        <v>8</v>
      </c>
      <c r="EN36" s="12">
        <f t="shared" si="95"/>
        <v>0</v>
      </c>
      <c r="EO36" s="22">
        <f t="shared" si="96"/>
        <v>0</v>
      </c>
      <c r="EP36" s="22">
        <f t="shared" si="97"/>
        <v>0</v>
      </c>
      <c r="EQ36" s="22">
        <f t="shared" si="98"/>
        <v>1</v>
      </c>
      <c r="ER36" s="12">
        <f t="shared" si="69"/>
        <v>0</v>
      </c>
      <c r="ES36" s="90">
        <f t="shared" si="70"/>
        <v>1</v>
      </c>
      <c r="ET36" s="94">
        <f t="shared" si="71"/>
        <v>0</v>
      </c>
      <c r="EU36" s="94">
        <f t="shared" si="99"/>
        <v>0</v>
      </c>
      <c r="EV36" s="28">
        <f t="shared" si="72"/>
        <v>1</v>
      </c>
      <c r="EW36" s="90">
        <f t="shared" si="115"/>
        <v>0</v>
      </c>
      <c r="EX36" s="94">
        <f t="shared" si="100"/>
        <v>0</v>
      </c>
      <c r="EY36" s="94">
        <f t="shared" si="101"/>
        <v>0</v>
      </c>
      <c r="EZ36" s="28">
        <f t="shared" si="102"/>
        <v>0</v>
      </c>
      <c r="FA36" s="90">
        <f t="shared" si="103"/>
        <v>0</v>
      </c>
      <c r="FB36" s="94">
        <f t="shared" si="104"/>
        <v>0</v>
      </c>
      <c r="FC36" s="94">
        <f t="shared" si="105"/>
        <v>0</v>
      </c>
      <c r="FD36" s="28">
        <f t="shared" si="106"/>
        <v>0</v>
      </c>
      <c r="FE36" s="90">
        <f t="shared" si="116"/>
        <v>0</v>
      </c>
      <c r="FF36" s="94">
        <f t="shared" si="117"/>
        <v>0</v>
      </c>
      <c r="FG36" s="94">
        <f t="shared" si="118"/>
        <v>0</v>
      </c>
      <c r="FH36" s="28">
        <f t="shared" si="119"/>
        <v>0</v>
      </c>
      <c r="FI36" s="90">
        <f t="shared" si="77"/>
        <v>0</v>
      </c>
      <c r="FJ36" s="94">
        <f t="shared" si="78"/>
        <v>0</v>
      </c>
      <c r="FK36" s="94">
        <f t="shared" si="79"/>
        <v>0</v>
      </c>
      <c r="FL36" s="28">
        <f t="shared" si="80"/>
        <v>0</v>
      </c>
      <c r="FM36" s="90">
        <f t="shared" si="107"/>
        <v>0</v>
      </c>
      <c r="FN36" s="94">
        <f t="shared" si="108"/>
        <v>0</v>
      </c>
      <c r="FO36" s="94">
        <f t="shared" si="109"/>
        <v>0</v>
      </c>
      <c r="FP36" s="28">
        <f t="shared" si="110"/>
        <v>0</v>
      </c>
      <c r="FR36" s="19">
        <f t="shared" si="81"/>
        <v>1</v>
      </c>
      <c r="FS36" s="22">
        <f t="shared" si="82"/>
        <v>0</v>
      </c>
      <c r="FT36" s="22">
        <f t="shared" si="83"/>
        <v>9</v>
      </c>
      <c r="FU36" s="22">
        <f t="shared" si="84"/>
        <v>1</v>
      </c>
      <c r="FV36" s="22">
        <f t="shared" si="85"/>
        <v>2</v>
      </c>
      <c r="FW36" s="22">
        <f t="shared" si="111"/>
        <v>0</v>
      </c>
      <c r="FX36" s="22">
        <f t="shared" si="112"/>
        <v>0</v>
      </c>
      <c r="FY36" s="22">
        <f t="shared" si="113"/>
        <v>0</v>
      </c>
      <c r="FZ36" s="94">
        <f t="shared" si="86"/>
        <v>0</v>
      </c>
      <c r="GA36" s="28">
        <f t="shared" si="114"/>
        <v>0</v>
      </c>
    </row>
    <row r="37" spans="1:183">
      <c r="A37" s="125" t="s">
        <v>975</v>
      </c>
      <c r="B37" s="261"/>
      <c r="C37">
        <v>0</v>
      </c>
      <c r="D37">
        <v>0</v>
      </c>
      <c r="E37">
        <v>0</v>
      </c>
      <c r="F37">
        <v>0</v>
      </c>
      <c r="G37">
        <v>0</v>
      </c>
      <c r="H37">
        <v>0</v>
      </c>
      <c r="I37">
        <v>0</v>
      </c>
      <c r="J37">
        <v>0</v>
      </c>
      <c r="K37">
        <v>0</v>
      </c>
      <c r="L37">
        <v>0</v>
      </c>
      <c r="N37" s="22">
        <v>0</v>
      </c>
      <c r="O37" s="22">
        <v>0</v>
      </c>
      <c r="P37" s="22">
        <v>0</v>
      </c>
      <c r="Q37" s="22">
        <v>0</v>
      </c>
      <c r="R37" s="22">
        <v>0</v>
      </c>
      <c r="S37" s="22">
        <v>0</v>
      </c>
      <c r="T37" s="22">
        <v>0</v>
      </c>
      <c r="U37" s="22">
        <v>0</v>
      </c>
      <c r="V37" s="22">
        <v>0</v>
      </c>
      <c r="W37" s="22">
        <v>0</v>
      </c>
      <c r="X37" s="22">
        <v>2</v>
      </c>
      <c r="Y37" s="12">
        <v>0</v>
      </c>
      <c r="Z37" s="19">
        <v>1</v>
      </c>
      <c r="AA37" s="22">
        <v>0</v>
      </c>
      <c r="AB37" s="22">
        <v>0</v>
      </c>
      <c r="AC37" s="22">
        <v>0</v>
      </c>
      <c r="AD37" s="22">
        <v>0</v>
      </c>
      <c r="AE37" s="22">
        <v>0</v>
      </c>
      <c r="AF37" s="22">
        <v>0</v>
      </c>
      <c r="AG37" s="22">
        <v>0</v>
      </c>
      <c r="AH37" s="22">
        <v>0</v>
      </c>
      <c r="AI37" s="22">
        <v>0</v>
      </c>
      <c r="AJ37" s="22">
        <v>0</v>
      </c>
      <c r="AK37" s="12">
        <v>0</v>
      </c>
      <c r="AL37" s="19">
        <v>0</v>
      </c>
      <c r="AM37" s="22">
        <v>0</v>
      </c>
      <c r="AN37" s="22">
        <v>0</v>
      </c>
      <c r="AO37" s="22">
        <v>0</v>
      </c>
      <c r="AP37" s="22">
        <v>0</v>
      </c>
      <c r="AQ37" s="22">
        <v>0</v>
      </c>
      <c r="AR37" s="22">
        <v>0</v>
      </c>
      <c r="AS37" s="22">
        <v>0</v>
      </c>
      <c r="AT37" s="22">
        <v>0</v>
      </c>
      <c r="AU37" s="22">
        <v>1</v>
      </c>
      <c r="AV37" s="22">
        <v>0</v>
      </c>
      <c r="AW37" s="22">
        <v>0</v>
      </c>
      <c r="AX37" s="19">
        <v>0</v>
      </c>
      <c r="AY37" s="22">
        <v>0</v>
      </c>
      <c r="AZ37" s="22">
        <v>0</v>
      </c>
      <c r="BA37" s="22">
        <v>0</v>
      </c>
      <c r="BB37" s="22">
        <v>0</v>
      </c>
      <c r="BC37" s="22">
        <v>0</v>
      </c>
      <c r="BD37" s="22">
        <v>0</v>
      </c>
      <c r="BE37" s="22">
        <v>1</v>
      </c>
      <c r="BF37" s="22">
        <v>4</v>
      </c>
      <c r="BG37" s="22">
        <v>0</v>
      </c>
      <c r="BH37" s="22">
        <v>0</v>
      </c>
      <c r="BI37" s="12">
        <v>0</v>
      </c>
      <c r="BJ37" s="22">
        <v>1</v>
      </c>
      <c r="BK37" s="22">
        <v>1</v>
      </c>
      <c r="BL37" s="22">
        <v>0</v>
      </c>
      <c r="BM37" s="22">
        <v>0</v>
      </c>
      <c r="BN37" s="22">
        <v>0</v>
      </c>
      <c r="BO37" s="22">
        <v>0</v>
      </c>
      <c r="BP37" s="22">
        <v>0</v>
      </c>
      <c r="BQ37" s="22">
        <v>2</v>
      </c>
      <c r="BR37" s="22">
        <v>0</v>
      </c>
      <c r="BS37" s="22">
        <v>0</v>
      </c>
      <c r="BT37" s="22">
        <v>0</v>
      </c>
      <c r="BU37" s="12">
        <v>0</v>
      </c>
      <c r="BV37" s="22">
        <v>2</v>
      </c>
      <c r="BW37" s="22">
        <v>0</v>
      </c>
      <c r="BX37" s="22">
        <v>0</v>
      </c>
      <c r="BY37" s="22">
        <v>0</v>
      </c>
      <c r="BZ37" s="22">
        <v>0</v>
      </c>
      <c r="CA37" s="22">
        <v>0</v>
      </c>
      <c r="CB37" s="22">
        <v>0</v>
      </c>
      <c r="CC37" s="22">
        <v>0</v>
      </c>
      <c r="CD37" s="22">
        <v>0</v>
      </c>
      <c r="CE37" s="22">
        <v>0</v>
      </c>
      <c r="CF37" s="22">
        <v>0</v>
      </c>
      <c r="CG37" s="22">
        <v>0</v>
      </c>
      <c r="CH37" s="19">
        <v>0</v>
      </c>
      <c r="CI37" s="22">
        <v>0</v>
      </c>
      <c r="CJ37" s="22">
        <v>0</v>
      </c>
      <c r="CK37" s="22">
        <v>0</v>
      </c>
      <c r="CL37" s="22">
        <v>0</v>
      </c>
      <c r="CM37" s="22">
        <v>0</v>
      </c>
      <c r="CN37" s="22">
        <v>0</v>
      </c>
      <c r="CO37" s="22">
        <v>0</v>
      </c>
      <c r="CP37" s="22">
        <v>0</v>
      </c>
      <c r="CQ37" s="22">
        <v>0</v>
      </c>
      <c r="CR37" s="22">
        <v>0</v>
      </c>
      <c r="CS37" s="12">
        <v>0</v>
      </c>
      <c r="CT37" s="19">
        <v>0</v>
      </c>
      <c r="CU37" s="22">
        <v>0</v>
      </c>
      <c r="CV37" s="22">
        <v>0</v>
      </c>
      <c r="CW37" s="22">
        <v>0</v>
      </c>
      <c r="CX37" s="22">
        <v>0</v>
      </c>
      <c r="CY37" s="22">
        <v>0</v>
      </c>
      <c r="CZ37" s="22">
        <v>0</v>
      </c>
      <c r="DA37" s="22">
        <v>0</v>
      </c>
      <c r="DB37" s="22">
        <v>0</v>
      </c>
      <c r="DC37" s="22">
        <v>0</v>
      </c>
      <c r="DD37" s="22">
        <v>0</v>
      </c>
      <c r="DE37" s="12">
        <v>0</v>
      </c>
      <c r="DF37" s="19">
        <v>0</v>
      </c>
      <c r="DG37" s="22">
        <v>0</v>
      </c>
      <c r="DH37" s="22">
        <v>0</v>
      </c>
      <c r="DI37" s="22">
        <v>0</v>
      </c>
      <c r="DJ37" s="22">
        <v>0</v>
      </c>
      <c r="DK37" s="22">
        <v>0</v>
      </c>
      <c r="DL37" s="22">
        <v>0</v>
      </c>
      <c r="DM37" s="22">
        <v>0</v>
      </c>
      <c r="DN37" s="22">
        <v>0</v>
      </c>
      <c r="DO37" s="22">
        <v>0</v>
      </c>
      <c r="DP37" s="22">
        <v>0</v>
      </c>
      <c r="DQ37" s="12">
        <v>0</v>
      </c>
      <c r="DR37" s="19">
        <v>0</v>
      </c>
      <c r="DS37" s="22">
        <v>0</v>
      </c>
      <c r="DT37" s="22">
        <v>0</v>
      </c>
      <c r="DU37" s="22">
        <v>0</v>
      </c>
      <c r="DV37" s="22">
        <v>0</v>
      </c>
      <c r="DW37" s="22">
        <v>0</v>
      </c>
      <c r="DX37" s="22">
        <v>0</v>
      </c>
      <c r="DY37" s="22">
        <v>0</v>
      </c>
      <c r="DZ37" s="22">
        <v>0</v>
      </c>
      <c r="EA37" s="22">
        <v>0</v>
      </c>
      <c r="EB37" s="22">
        <v>0</v>
      </c>
      <c r="EC37" s="12">
        <v>0</v>
      </c>
      <c r="ED37" s="12">
        <f t="shared" si="127"/>
        <v>15</v>
      </c>
      <c r="EF37" s="6">
        <f t="shared" si="87"/>
        <v>2</v>
      </c>
      <c r="EG37" s="19">
        <f t="shared" si="88"/>
        <v>1</v>
      </c>
      <c r="EH37" s="22">
        <f t="shared" si="89"/>
        <v>0</v>
      </c>
      <c r="EI37" s="22">
        <f t="shared" si="90"/>
        <v>0</v>
      </c>
      <c r="EJ37" s="12">
        <f t="shared" si="91"/>
        <v>0</v>
      </c>
      <c r="EK37" s="22">
        <f t="shared" si="92"/>
        <v>0</v>
      </c>
      <c r="EL37" s="22">
        <f t="shared" si="93"/>
        <v>0</v>
      </c>
      <c r="EM37" s="22">
        <f t="shared" si="94"/>
        <v>0</v>
      </c>
      <c r="EN37" s="12">
        <f t="shared" si="95"/>
        <v>1</v>
      </c>
      <c r="EO37" s="22">
        <f t="shared" si="96"/>
        <v>0</v>
      </c>
      <c r="EP37" s="22">
        <f t="shared" si="97"/>
        <v>0</v>
      </c>
      <c r="EQ37" s="22">
        <f t="shared" si="98"/>
        <v>5</v>
      </c>
      <c r="ER37" s="12">
        <f t="shared" si="69"/>
        <v>0</v>
      </c>
      <c r="ES37" s="90">
        <f t="shared" si="70"/>
        <v>2</v>
      </c>
      <c r="ET37" s="94">
        <f t="shared" si="71"/>
        <v>0</v>
      </c>
      <c r="EU37" s="94">
        <f t="shared" si="99"/>
        <v>2</v>
      </c>
      <c r="EV37" s="28">
        <f t="shared" si="72"/>
        <v>0</v>
      </c>
      <c r="EW37" s="90">
        <f t="shared" si="115"/>
        <v>2</v>
      </c>
      <c r="EX37" s="94">
        <f t="shared" si="100"/>
        <v>0</v>
      </c>
      <c r="EY37" s="94">
        <f t="shared" si="101"/>
        <v>0</v>
      </c>
      <c r="EZ37" s="28">
        <f t="shared" si="102"/>
        <v>0</v>
      </c>
      <c r="FA37" s="90">
        <f t="shared" si="103"/>
        <v>0</v>
      </c>
      <c r="FB37" s="94">
        <f t="shared" si="104"/>
        <v>0</v>
      </c>
      <c r="FC37" s="94">
        <f t="shared" si="105"/>
        <v>0</v>
      </c>
      <c r="FD37" s="28">
        <f t="shared" si="106"/>
        <v>0</v>
      </c>
      <c r="FE37" s="90">
        <f t="shared" si="116"/>
        <v>0</v>
      </c>
      <c r="FF37" s="94">
        <f t="shared" si="117"/>
        <v>0</v>
      </c>
      <c r="FG37" s="94">
        <f t="shared" si="118"/>
        <v>0</v>
      </c>
      <c r="FH37" s="28">
        <f t="shared" si="119"/>
        <v>0</v>
      </c>
      <c r="FI37" s="90">
        <f t="shared" si="77"/>
        <v>0</v>
      </c>
      <c r="FJ37" s="94">
        <f t="shared" si="78"/>
        <v>0</v>
      </c>
      <c r="FK37" s="94">
        <f t="shared" si="79"/>
        <v>0</v>
      </c>
      <c r="FL37" s="28">
        <f t="shared" si="80"/>
        <v>0</v>
      </c>
      <c r="FM37" s="90">
        <f t="shared" si="107"/>
        <v>0</v>
      </c>
      <c r="FN37" s="94">
        <f t="shared" si="108"/>
        <v>0</v>
      </c>
      <c r="FO37" s="94">
        <f t="shared" si="109"/>
        <v>0</v>
      </c>
      <c r="FP37" s="28">
        <f t="shared" si="110"/>
        <v>0</v>
      </c>
      <c r="FR37" s="19">
        <f t="shared" si="81"/>
        <v>2</v>
      </c>
      <c r="FS37" s="22">
        <f t="shared" si="82"/>
        <v>1</v>
      </c>
      <c r="FT37" s="22">
        <f t="shared" si="83"/>
        <v>1</v>
      </c>
      <c r="FU37" s="22">
        <f t="shared" si="84"/>
        <v>5</v>
      </c>
      <c r="FV37" s="22">
        <f t="shared" si="85"/>
        <v>4</v>
      </c>
      <c r="FW37" s="22">
        <f t="shared" si="111"/>
        <v>2</v>
      </c>
      <c r="FX37" s="22">
        <f t="shared" si="112"/>
        <v>0</v>
      </c>
      <c r="FY37" s="22">
        <f t="shared" si="113"/>
        <v>0</v>
      </c>
      <c r="FZ37" s="94">
        <f t="shared" si="86"/>
        <v>0</v>
      </c>
      <c r="GA37" s="28">
        <f t="shared" si="114"/>
        <v>0</v>
      </c>
    </row>
    <row r="38" spans="1:183">
      <c r="A38" s="249" t="s">
        <v>976</v>
      </c>
      <c r="B38" s="261"/>
      <c r="C38">
        <v>0</v>
      </c>
      <c r="D38">
        <v>0</v>
      </c>
      <c r="E38">
        <v>0</v>
      </c>
      <c r="F38">
        <v>0</v>
      </c>
      <c r="G38">
        <v>0</v>
      </c>
      <c r="H38">
        <v>0</v>
      </c>
      <c r="I38">
        <v>0</v>
      </c>
      <c r="J38">
        <v>0</v>
      </c>
      <c r="K38">
        <v>0</v>
      </c>
      <c r="L38">
        <v>0</v>
      </c>
      <c r="N38" s="17">
        <v>0</v>
      </c>
      <c r="O38" s="17">
        <v>0</v>
      </c>
      <c r="P38" s="17">
        <v>0</v>
      </c>
      <c r="Q38" s="17">
        <v>0</v>
      </c>
      <c r="R38" s="17">
        <v>0</v>
      </c>
      <c r="S38" s="17">
        <v>0</v>
      </c>
      <c r="T38" s="17">
        <v>0</v>
      </c>
      <c r="U38" s="17">
        <v>0</v>
      </c>
      <c r="V38" s="17">
        <v>0</v>
      </c>
      <c r="W38" s="17">
        <v>0</v>
      </c>
      <c r="X38" s="17">
        <v>0</v>
      </c>
      <c r="Y38" s="264">
        <v>0</v>
      </c>
      <c r="Z38" s="263">
        <v>0</v>
      </c>
      <c r="AA38" s="17">
        <v>0</v>
      </c>
      <c r="AB38" s="17">
        <v>0</v>
      </c>
      <c r="AC38" s="17">
        <v>0</v>
      </c>
      <c r="AD38" s="17">
        <v>0</v>
      </c>
      <c r="AE38" s="17">
        <v>0</v>
      </c>
      <c r="AF38" s="17">
        <v>1</v>
      </c>
      <c r="AG38" s="17">
        <v>0</v>
      </c>
      <c r="AH38" s="17">
        <v>0</v>
      </c>
      <c r="AI38" s="17">
        <v>0</v>
      </c>
      <c r="AJ38" s="17">
        <v>0</v>
      </c>
      <c r="AK38" s="264">
        <v>0</v>
      </c>
      <c r="AL38" s="263">
        <v>0</v>
      </c>
      <c r="AM38" s="17">
        <v>0</v>
      </c>
      <c r="AN38" s="17">
        <v>0</v>
      </c>
      <c r="AO38" s="17">
        <v>0</v>
      </c>
      <c r="AP38" s="17">
        <v>0</v>
      </c>
      <c r="AQ38" s="17">
        <v>0</v>
      </c>
      <c r="AR38" s="17">
        <v>0</v>
      </c>
      <c r="AS38" s="17">
        <v>0</v>
      </c>
      <c r="AT38" s="17">
        <v>0</v>
      </c>
      <c r="AU38" s="17">
        <v>0</v>
      </c>
      <c r="AV38" s="17">
        <v>0</v>
      </c>
      <c r="AW38" s="17">
        <v>0</v>
      </c>
      <c r="AX38" s="263">
        <v>0</v>
      </c>
      <c r="AY38" s="17">
        <v>0</v>
      </c>
      <c r="AZ38" s="17">
        <v>0</v>
      </c>
      <c r="BA38" s="17">
        <v>0</v>
      </c>
      <c r="BB38" s="17">
        <v>0</v>
      </c>
      <c r="BC38" s="17">
        <v>0</v>
      </c>
      <c r="BD38" s="17">
        <v>0</v>
      </c>
      <c r="BE38" s="17">
        <v>0</v>
      </c>
      <c r="BF38" s="17">
        <v>0</v>
      </c>
      <c r="BG38" s="17">
        <v>0</v>
      </c>
      <c r="BH38" s="17">
        <v>0</v>
      </c>
      <c r="BI38" s="264">
        <v>0</v>
      </c>
      <c r="BJ38" s="17">
        <v>0</v>
      </c>
      <c r="BK38" s="17">
        <v>0</v>
      </c>
      <c r="BL38" s="17">
        <v>0</v>
      </c>
      <c r="BM38" s="17">
        <v>0</v>
      </c>
      <c r="BN38" s="17">
        <v>0</v>
      </c>
      <c r="BO38" s="17">
        <v>0</v>
      </c>
      <c r="BP38" s="17">
        <v>0</v>
      </c>
      <c r="BQ38" s="17">
        <v>0</v>
      </c>
      <c r="BR38" s="17">
        <v>0</v>
      </c>
      <c r="BS38" s="17">
        <v>0</v>
      </c>
      <c r="BT38" s="17">
        <v>0</v>
      </c>
      <c r="BU38" s="264">
        <v>0</v>
      </c>
      <c r="BV38" s="17">
        <v>0</v>
      </c>
      <c r="BW38" s="17">
        <v>0</v>
      </c>
      <c r="BX38" s="17">
        <v>0</v>
      </c>
      <c r="BY38" s="17">
        <v>0</v>
      </c>
      <c r="BZ38" s="17">
        <v>0</v>
      </c>
      <c r="CA38" s="17">
        <v>0</v>
      </c>
      <c r="CB38" s="17">
        <v>0</v>
      </c>
      <c r="CC38" s="17">
        <v>0</v>
      </c>
      <c r="CD38" s="17">
        <v>0</v>
      </c>
      <c r="CE38" s="17">
        <v>0</v>
      </c>
      <c r="CF38" s="17">
        <v>0</v>
      </c>
      <c r="CG38" s="17">
        <v>0</v>
      </c>
      <c r="CH38" s="263">
        <v>0</v>
      </c>
      <c r="CI38" s="17">
        <v>0</v>
      </c>
      <c r="CJ38" s="17">
        <v>0</v>
      </c>
      <c r="CK38" s="17">
        <v>0</v>
      </c>
      <c r="CL38" s="17">
        <v>0</v>
      </c>
      <c r="CM38" s="17">
        <v>0</v>
      </c>
      <c r="CN38" s="17">
        <v>0</v>
      </c>
      <c r="CO38" s="17">
        <v>0</v>
      </c>
      <c r="CP38" s="17">
        <v>0</v>
      </c>
      <c r="CQ38" s="17">
        <v>0</v>
      </c>
      <c r="CR38" s="17">
        <v>0</v>
      </c>
      <c r="CS38" s="264">
        <v>1</v>
      </c>
      <c r="CT38" s="263">
        <v>0</v>
      </c>
      <c r="CU38" s="17">
        <v>0</v>
      </c>
      <c r="CV38" s="17">
        <v>0</v>
      </c>
      <c r="CW38" s="17">
        <v>0</v>
      </c>
      <c r="CX38" s="17">
        <v>0</v>
      </c>
      <c r="CY38" s="17">
        <v>0</v>
      </c>
      <c r="CZ38" s="17">
        <v>0</v>
      </c>
      <c r="DA38" s="17">
        <v>0</v>
      </c>
      <c r="DB38" s="17">
        <v>0</v>
      </c>
      <c r="DC38" s="17">
        <v>0</v>
      </c>
      <c r="DD38" s="17">
        <v>0</v>
      </c>
      <c r="DE38" s="264">
        <v>0</v>
      </c>
      <c r="DF38" s="263">
        <v>0</v>
      </c>
      <c r="DG38" s="17">
        <v>0</v>
      </c>
      <c r="DH38" s="17">
        <v>0</v>
      </c>
      <c r="DI38" s="17">
        <v>0</v>
      </c>
      <c r="DJ38" s="17">
        <v>0</v>
      </c>
      <c r="DK38" s="17">
        <v>0</v>
      </c>
      <c r="DL38" s="17">
        <v>0</v>
      </c>
      <c r="DM38" s="17">
        <v>0</v>
      </c>
      <c r="DN38" s="17">
        <v>0</v>
      </c>
      <c r="DO38" s="17">
        <v>0</v>
      </c>
      <c r="DP38" s="17">
        <v>0</v>
      </c>
      <c r="DQ38" s="264">
        <v>0</v>
      </c>
      <c r="DR38" s="263">
        <v>0</v>
      </c>
      <c r="DS38" s="17">
        <v>0</v>
      </c>
      <c r="DT38" s="17">
        <v>0</v>
      </c>
      <c r="DU38" s="17">
        <v>0</v>
      </c>
      <c r="DV38" s="17">
        <v>0</v>
      </c>
      <c r="DW38" s="17">
        <v>0</v>
      </c>
      <c r="DX38" s="17">
        <v>0</v>
      </c>
      <c r="DY38" s="17">
        <v>0</v>
      </c>
      <c r="DZ38" s="17">
        <v>0</v>
      </c>
      <c r="EA38" s="17">
        <v>0</v>
      </c>
      <c r="EB38" s="17">
        <v>0</v>
      </c>
      <c r="EC38" s="264">
        <v>0</v>
      </c>
      <c r="ED38" s="264">
        <f t="shared" si="127"/>
        <v>2</v>
      </c>
      <c r="EE38" s="265"/>
      <c r="EF38" s="2">
        <f t="shared" si="87"/>
        <v>0</v>
      </c>
      <c r="EG38" s="263">
        <f t="shared" si="88"/>
        <v>0</v>
      </c>
      <c r="EH38" s="17">
        <f t="shared" si="89"/>
        <v>0</v>
      </c>
      <c r="EI38" s="17">
        <f t="shared" si="90"/>
        <v>1</v>
      </c>
      <c r="EJ38" s="264">
        <f t="shared" si="91"/>
        <v>0</v>
      </c>
      <c r="EK38" s="17">
        <f t="shared" si="92"/>
        <v>0</v>
      </c>
      <c r="EL38" s="17">
        <f t="shared" si="93"/>
        <v>0</v>
      </c>
      <c r="EM38" s="17">
        <f t="shared" si="94"/>
        <v>0</v>
      </c>
      <c r="EN38" s="264">
        <f t="shared" si="95"/>
        <v>0</v>
      </c>
      <c r="EO38" s="17">
        <f t="shared" si="96"/>
        <v>0</v>
      </c>
      <c r="EP38" s="17">
        <f t="shared" si="97"/>
        <v>0</v>
      </c>
      <c r="EQ38" s="17">
        <f t="shared" si="98"/>
        <v>0</v>
      </c>
      <c r="ER38" s="264">
        <f t="shared" si="69"/>
        <v>0</v>
      </c>
      <c r="ES38" s="90">
        <f t="shared" si="70"/>
        <v>0</v>
      </c>
      <c r="ET38" s="94">
        <f t="shared" si="71"/>
        <v>0</v>
      </c>
      <c r="EU38" s="94">
        <f t="shared" si="99"/>
        <v>0</v>
      </c>
      <c r="EV38" s="28">
        <f t="shared" si="72"/>
        <v>0</v>
      </c>
      <c r="EW38" s="90">
        <f t="shared" si="115"/>
        <v>0</v>
      </c>
      <c r="EX38" s="94">
        <f t="shared" si="100"/>
        <v>0</v>
      </c>
      <c r="EY38" s="94">
        <f t="shared" si="101"/>
        <v>0</v>
      </c>
      <c r="EZ38" s="28">
        <f t="shared" si="102"/>
        <v>0</v>
      </c>
      <c r="FA38" s="90">
        <f t="shared" si="103"/>
        <v>0</v>
      </c>
      <c r="FB38" s="94">
        <f t="shared" si="104"/>
        <v>0</v>
      </c>
      <c r="FC38" s="94">
        <f t="shared" si="105"/>
        <v>0</v>
      </c>
      <c r="FD38" s="28">
        <f t="shared" si="106"/>
        <v>1</v>
      </c>
      <c r="FE38" s="90">
        <f t="shared" si="116"/>
        <v>0</v>
      </c>
      <c r="FF38" s="94">
        <f t="shared" si="117"/>
        <v>0</v>
      </c>
      <c r="FG38" s="94">
        <f t="shared" si="118"/>
        <v>0</v>
      </c>
      <c r="FH38" s="28">
        <f t="shared" si="119"/>
        <v>0</v>
      </c>
      <c r="FI38" s="90">
        <f t="shared" si="77"/>
        <v>0</v>
      </c>
      <c r="FJ38" s="94">
        <f t="shared" si="78"/>
        <v>0</v>
      </c>
      <c r="FK38" s="94">
        <f t="shared" si="79"/>
        <v>0</v>
      </c>
      <c r="FL38" s="28">
        <f t="shared" si="80"/>
        <v>0</v>
      </c>
      <c r="FM38" s="90">
        <f t="shared" si="107"/>
        <v>0</v>
      </c>
      <c r="FN38" s="94">
        <f t="shared" si="108"/>
        <v>0</v>
      </c>
      <c r="FO38" s="94">
        <f t="shared" si="109"/>
        <v>0</v>
      </c>
      <c r="FP38" s="28">
        <f t="shared" si="110"/>
        <v>0</v>
      </c>
      <c r="FR38" s="263">
        <f t="shared" si="81"/>
        <v>0</v>
      </c>
      <c r="FS38" s="17">
        <f t="shared" si="82"/>
        <v>1</v>
      </c>
      <c r="FT38" s="17">
        <f t="shared" si="83"/>
        <v>0</v>
      </c>
      <c r="FU38" s="17">
        <f t="shared" si="84"/>
        <v>0</v>
      </c>
      <c r="FV38" s="17">
        <f t="shared" si="85"/>
        <v>0</v>
      </c>
      <c r="FW38" s="17">
        <f t="shared" si="111"/>
        <v>0</v>
      </c>
      <c r="FX38" s="17">
        <f t="shared" si="112"/>
        <v>1</v>
      </c>
      <c r="FY38" s="17">
        <f t="shared" si="113"/>
        <v>0</v>
      </c>
      <c r="FZ38" s="272">
        <f t="shared" si="86"/>
        <v>0</v>
      </c>
      <c r="GA38" s="186">
        <f t="shared" si="114"/>
        <v>0</v>
      </c>
    </row>
    <row r="39" spans="1:183">
      <c r="A39" s="125" t="s">
        <v>879</v>
      </c>
      <c r="B39" s="261"/>
      <c r="C39">
        <v>0</v>
      </c>
      <c r="D39">
        <v>0</v>
      </c>
      <c r="E39">
        <v>0</v>
      </c>
      <c r="F39">
        <v>0</v>
      </c>
      <c r="G39">
        <v>0</v>
      </c>
      <c r="H39">
        <v>0</v>
      </c>
      <c r="I39">
        <v>0</v>
      </c>
      <c r="J39">
        <v>0</v>
      </c>
      <c r="K39">
        <v>0</v>
      </c>
      <c r="L39">
        <v>0</v>
      </c>
      <c r="N39" s="22">
        <v>0</v>
      </c>
      <c r="O39" s="22">
        <v>0</v>
      </c>
      <c r="P39" s="22">
        <v>0</v>
      </c>
      <c r="Q39" s="22">
        <v>0</v>
      </c>
      <c r="R39" s="22">
        <v>0</v>
      </c>
      <c r="S39" s="22">
        <v>0</v>
      </c>
      <c r="T39" s="22">
        <v>0</v>
      </c>
      <c r="U39" s="22">
        <v>0</v>
      </c>
      <c r="V39" s="22">
        <v>0</v>
      </c>
      <c r="W39" s="22">
        <v>0</v>
      </c>
      <c r="X39" s="22">
        <v>0</v>
      </c>
      <c r="Y39" s="12">
        <v>0</v>
      </c>
      <c r="Z39" s="19">
        <v>3</v>
      </c>
      <c r="AA39" s="22">
        <v>0</v>
      </c>
      <c r="AB39" s="22">
        <v>1</v>
      </c>
      <c r="AC39" s="22">
        <v>1</v>
      </c>
      <c r="AD39" s="22">
        <v>0</v>
      </c>
      <c r="AE39" s="22">
        <v>0</v>
      </c>
      <c r="AF39" s="22">
        <v>1</v>
      </c>
      <c r="AG39" s="22">
        <v>0</v>
      </c>
      <c r="AH39" s="22">
        <v>0</v>
      </c>
      <c r="AI39" s="22">
        <v>1</v>
      </c>
      <c r="AJ39" s="22">
        <v>0</v>
      </c>
      <c r="AK39" s="12">
        <v>0</v>
      </c>
      <c r="AL39" s="19">
        <v>0</v>
      </c>
      <c r="AM39" s="22">
        <v>0</v>
      </c>
      <c r="AN39" s="22">
        <v>0</v>
      </c>
      <c r="AO39" s="22">
        <v>0</v>
      </c>
      <c r="AP39" s="22">
        <v>0</v>
      </c>
      <c r="AQ39" s="22">
        <v>0</v>
      </c>
      <c r="AR39" s="22">
        <v>0</v>
      </c>
      <c r="AS39" s="22">
        <v>0</v>
      </c>
      <c r="AT39" s="22">
        <v>0</v>
      </c>
      <c r="AU39" s="22">
        <v>1</v>
      </c>
      <c r="AV39" s="22">
        <v>0</v>
      </c>
      <c r="AW39" s="22">
        <v>0</v>
      </c>
      <c r="AX39" s="19">
        <v>0</v>
      </c>
      <c r="AY39" s="22">
        <v>0</v>
      </c>
      <c r="AZ39" s="22">
        <v>1</v>
      </c>
      <c r="BA39" s="22">
        <v>1</v>
      </c>
      <c r="BB39" s="22">
        <v>0</v>
      </c>
      <c r="BC39" s="22">
        <v>0</v>
      </c>
      <c r="BD39" s="22">
        <v>0</v>
      </c>
      <c r="BE39" s="22">
        <v>0</v>
      </c>
      <c r="BF39" s="22">
        <v>0</v>
      </c>
      <c r="BG39" s="22">
        <v>0</v>
      </c>
      <c r="BH39" s="22">
        <v>1</v>
      </c>
      <c r="BI39" s="12">
        <v>1</v>
      </c>
      <c r="BJ39" s="22">
        <v>0</v>
      </c>
      <c r="BK39" s="22">
        <v>0</v>
      </c>
      <c r="BL39" s="22">
        <v>0</v>
      </c>
      <c r="BM39" s="22">
        <v>0</v>
      </c>
      <c r="BN39" s="22">
        <v>0</v>
      </c>
      <c r="BO39" s="22">
        <v>1</v>
      </c>
      <c r="BP39" s="22">
        <v>0</v>
      </c>
      <c r="BQ39" s="22">
        <v>0</v>
      </c>
      <c r="BR39" s="22">
        <v>0</v>
      </c>
      <c r="BS39" s="22">
        <v>2</v>
      </c>
      <c r="BT39" s="22">
        <v>0</v>
      </c>
      <c r="BU39" s="12">
        <v>0</v>
      </c>
      <c r="BV39" s="22">
        <v>1</v>
      </c>
      <c r="BW39" s="22">
        <v>0</v>
      </c>
      <c r="BX39" s="22">
        <v>0</v>
      </c>
      <c r="BY39" s="22">
        <v>0</v>
      </c>
      <c r="BZ39" s="22">
        <v>0</v>
      </c>
      <c r="CA39" s="22">
        <v>0</v>
      </c>
      <c r="CB39" s="22">
        <v>0</v>
      </c>
      <c r="CC39" s="22">
        <v>0</v>
      </c>
      <c r="CD39" s="22">
        <v>0</v>
      </c>
      <c r="CE39" s="22">
        <v>1</v>
      </c>
      <c r="CF39" s="22">
        <v>0</v>
      </c>
      <c r="CG39" s="22">
        <v>1</v>
      </c>
      <c r="CH39" s="19">
        <v>0</v>
      </c>
      <c r="CI39" s="22">
        <v>0</v>
      </c>
      <c r="CJ39" s="22">
        <v>0</v>
      </c>
      <c r="CK39" s="22">
        <v>0</v>
      </c>
      <c r="CL39" s="22">
        <v>1</v>
      </c>
      <c r="CM39" s="22">
        <v>0</v>
      </c>
      <c r="CN39" s="22">
        <v>0</v>
      </c>
      <c r="CO39" s="22">
        <v>1</v>
      </c>
      <c r="CP39" s="22">
        <v>0</v>
      </c>
      <c r="CQ39" s="22">
        <v>0</v>
      </c>
      <c r="CR39" s="22">
        <v>0</v>
      </c>
      <c r="CS39" s="12">
        <v>0</v>
      </c>
      <c r="CT39" s="19">
        <v>0</v>
      </c>
      <c r="CU39" s="22">
        <v>0</v>
      </c>
      <c r="CV39" s="22">
        <v>0</v>
      </c>
      <c r="CW39" s="22">
        <v>0</v>
      </c>
      <c r="CX39" s="22">
        <v>0</v>
      </c>
      <c r="CY39" s="22">
        <v>0</v>
      </c>
      <c r="CZ39" s="22">
        <v>0</v>
      </c>
      <c r="DA39" s="22">
        <v>0</v>
      </c>
      <c r="DB39" s="22">
        <v>0</v>
      </c>
      <c r="DC39" s="22">
        <v>0</v>
      </c>
      <c r="DD39" s="22">
        <v>0</v>
      </c>
      <c r="DE39" s="12">
        <v>0</v>
      </c>
      <c r="DF39" s="19">
        <v>0</v>
      </c>
      <c r="DG39" s="22">
        <v>0</v>
      </c>
      <c r="DH39" s="22">
        <v>0</v>
      </c>
      <c r="DI39" s="22">
        <v>0</v>
      </c>
      <c r="DJ39" s="22">
        <v>0</v>
      </c>
      <c r="DK39" s="22">
        <v>0</v>
      </c>
      <c r="DL39" s="22">
        <v>0</v>
      </c>
      <c r="DM39" s="22">
        <v>0</v>
      </c>
      <c r="DN39" s="22">
        <v>0</v>
      </c>
      <c r="DO39" s="22">
        <v>0</v>
      </c>
      <c r="DP39" s="22">
        <v>0</v>
      </c>
      <c r="DQ39" s="12">
        <v>0</v>
      </c>
      <c r="DR39" s="19">
        <v>0</v>
      </c>
      <c r="DS39" s="22">
        <v>0</v>
      </c>
      <c r="DT39" s="22">
        <v>0</v>
      </c>
      <c r="DU39" s="22">
        <v>0</v>
      </c>
      <c r="DV39" s="22">
        <v>0</v>
      </c>
      <c r="DW39" s="22">
        <v>0</v>
      </c>
      <c r="DX39" s="22">
        <v>0</v>
      </c>
      <c r="DY39" s="22">
        <v>0</v>
      </c>
      <c r="DZ39" s="22">
        <v>0</v>
      </c>
      <c r="EA39" s="22">
        <v>0</v>
      </c>
      <c r="EB39" s="22">
        <v>0</v>
      </c>
      <c r="EC39" s="12">
        <v>0</v>
      </c>
      <c r="ED39" s="12">
        <f t="shared" si="127"/>
        <v>20</v>
      </c>
      <c r="EF39" s="6">
        <f t="shared" si="87"/>
        <v>0</v>
      </c>
      <c r="EG39" s="19">
        <f t="shared" si="88"/>
        <v>4</v>
      </c>
      <c r="EH39" s="22">
        <f t="shared" si="89"/>
        <v>1</v>
      </c>
      <c r="EI39" s="22">
        <f t="shared" si="90"/>
        <v>1</v>
      </c>
      <c r="EJ39" s="12">
        <f t="shared" si="91"/>
        <v>1</v>
      </c>
      <c r="EK39" s="22">
        <f t="shared" si="92"/>
        <v>0</v>
      </c>
      <c r="EL39" s="22">
        <f t="shared" si="93"/>
        <v>0</v>
      </c>
      <c r="EM39" s="22">
        <f t="shared" si="94"/>
        <v>0</v>
      </c>
      <c r="EN39" s="12">
        <f t="shared" si="95"/>
        <v>1</v>
      </c>
      <c r="EO39" s="22">
        <f t="shared" si="96"/>
        <v>1</v>
      </c>
      <c r="EP39" s="22">
        <f t="shared" si="97"/>
        <v>1</v>
      </c>
      <c r="EQ39" s="22">
        <f t="shared" si="98"/>
        <v>0</v>
      </c>
      <c r="ER39" s="12">
        <f t="shared" si="69"/>
        <v>1</v>
      </c>
      <c r="ES39" s="90">
        <f t="shared" si="70"/>
        <v>0</v>
      </c>
      <c r="ET39" s="94">
        <f t="shared" si="71"/>
        <v>1</v>
      </c>
      <c r="EU39" s="94">
        <f t="shared" si="99"/>
        <v>0</v>
      </c>
      <c r="EV39" s="28">
        <f t="shared" si="72"/>
        <v>2</v>
      </c>
      <c r="EW39" s="90">
        <f t="shared" si="115"/>
        <v>1</v>
      </c>
      <c r="EX39" s="94">
        <f t="shared" si="100"/>
        <v>0</v>
      </c>
      <c r="EY39" s="94">
        <f t="shared" si="101"/>
        <v>0</v>
      </c>
      <c r="EZ39" s="28">
        <f t="shared" si="102"/>
        <v>2</v>
      </c>
      <c r="FA39" s="90">
        <f t="shared" si="103"/>
        <v>0</v>
      </c>
      <c r="FB39" s="94">
        <f t="shared" si="104"/>
        <v>1</v>
      </c>
      <c r="FC39" s="94">
        <f t="shared" si="105"/>
        <v>1</v>
      </c>
      <c r="FD39" s="28">
        <f t="shared" si="106"/>
        <v>0</v>
      </c>
      <c r="FE39" s="90">
        <f t="shared" si="116"/>
        <v>0</v>
      </c>
      <c r="FF39" s="94">
        <f t="shared" si="117"/>
        <v>0</v>
      </c>
      <c r="FG39" s="94">
        <f t="shared" si="118"/>
        <v>0</v>
      </c>
      <c r="FH39" s="28">
        <f t="shared" si="119"/>
        <v>0</v>
      </c>
      <c r="FI39" s="90">
        <f t="shared" si="77"/>
        <v>0</v>
      </c>
      <c r="FJ39" s="94">
        <f t="shared" si="78"/>
        <v>0</v>
      </c>
      <c r="FK39" s="94">
        <f t="shared" si="79"/>
        <v>0</v>
      </c>
      <c r="FL39" s="28">
        <f t="shared" si="80"/>
        <v>0</v>
      </c>
      <c r="FM39" s="90">
        <f t="shared" si="107"/>
        <v>0</v>
      </c>
      <c r="FN39" s="94">
        <f t="shared" si="108"/>
        <v>0</v>
      </c>
      <c r="FO39" s="94">
        <f t="shared" si="109"/>
        <v>0</v>
      </c>
      <c r="FP39" s="28">
        <f t="shared" si="110"/>
        <v>0</v>
      </c>
      <c r="FR39" s="19">
        <f t="shared" si="81"/>
        <v>0</v>
      </c>
      <c r="FS39" s="22">
        <f t="shared" si="82"/>
        <v>7</v>
      </c>
      <c r="FT39" s="22">
        <f t="shared" si="83"/>
        <v>1</v>
      </c>
      <c r="FU39" s="22">
        <f t="shared" si="84"/>
        <v>3</v>
      </c>
      <c r="FV39" s="22">
        <f t="shared" si="85"/>
        <v>3</v>
      </c>
      <c r="FW39" s="22">
        <f t="shared" si="111"/>
        <v>3</v>
      </c>
      <c r="FX39" s="22">
        <f t="shared" si="112"/>
        <v>2</v>
      </c>
      <c r="FY39" s="22">
        <f t="shared" si="113"/>
        <v>0</v>
      </c>
      <c r="FZ39" s="94">
        <f t="shared" si="86"/>
        <v>0</v>
      </c>
      <c r="GA39" s="28">
        <f t="shared" si="114"/>
        <v>0</v>
      </c>
    </row>
    <row r="40" spans="1:183">
      <c r="A40" s="125" t="s">
        <v>834</v>
      </c>
      <c r="B40" s="261"/>
      <c r="C40">
        <v>0</v>
      </c>
      <c r="D40">
        <v>0</v>
      </c>
      <c r="E40">
        <v>0</v>
      </c>
      <c r="F40">
        <v>0</v>
      </c>
      <c r="G40">
        <v>0</v>
      </c>
      <c r="H40">
        <v>0</v>
      </c>
      <c r="I40">
        <v>0</v>
      </c>
      <c r="J40">
        <v>0</v>
      </c>
      <c r="K40">
        <v>0</v>
      </c>
      <c r="L40">
        <v>0</v>
      </c>
      <c r="N40" s="22">
        <v>0</v>
      </c>
      <c r="O40" s="22">
        <v>0</v>
      </c>
      <c r="P40" s="22">
        <v>0</v>
      </c>
      <c r="Q40" s="22">
        <v>0</v>
      </c>
      <c r="R40" s="22">
        <v>0</v>
      </c>
      <c r="S40" s="22">
        <v>0</v>
      </c>
      <c r="T40" s="22">
        <v>0</v>
      </c>
      <c r="U40" s="22">
        <v>0</v>
      </c>
      <c r="V40" s="22">
        <v>0</v>
      </c>
      <c r="W40" s="22">
        <v>0</v>
      </c>
      <c r="X40" s="22">
        <v>0</v>
      </c>
      <c r="Y40" s="12">
        <v>0</v>
      </c>
      <c r="Z40" s="19">
        <v>0</v>
      </c>
      <c r="AA40" s="22">
        <v>0</v>
      </c>
      <c r="AB40" s="22">
        <v>0</v>
      </c>
      <c r="AC40" s="22">
        <v>0</v>
      </c>
      <c r="AD40" s="22">
        <v>0</v>
      </c>
      <c r="AE40" s="22">
        <v>1</v>
      </c>
      <c r="AF40" s="22">
        <v>0</v>
      </c>
      <c r="AG40" s="22">
        <v>0</v>
      </c>
      <c r="AH40" s="22">
        <v>0</v>
      </c>
      <c r="AI40" s="22">
        <v>0</v>
      </c>
      <c r="AJ40" s="22">
        <v>0</v>
      </c>
      <c r="AK40" s="12">
        <v>0</v>
      </c>
      <c r="AL40" s="19">
        <v>0</v>
      </c>
      <c r="AM40" s="22">
        <v>0</v>
      </c>
      <c r="AN40" s="22">
        <v>0</v>
      </c>
      <c r="AO40" s="22">
        <v>0</v>
      </c>
      <c r="AP40" s="22">
        <v>0</v>
      </c>
      <c r="AQ40" s="22">
        <v>0</v>
      </c>
      <c r="AR40" s="22">
        <v>0</v>
      </c>
      <c r="AS40" s="22">
        <v>0</v>
      </c>
      <c r="AT40" s="22">
        <v>0</v>
      </c>
      <c r="AU40" s="22">
        <v>0</v>
      </c>
      <c r="AV40" s="22">
        <v>0</v>
      </c>
      <c r="AW40" s="22">
        <v>0</v>
      </c>
      <c r="AX40" s="19">
        <v>0</v>
      </c>
      <c r="AY40" s="22">
        <v>0</v>
      </c>
      <c r="AZ40" s="22">
        <v>0</v>
      </c>
      <c r="BA40" s="22">
        <v>0</v>
      </c>
      <c r="BB40" s="22">
        <v>0</v>
      </c>
      <c r="BC40" s="22">
        <v>0</v>
      </c>
      <c r="BD40" s="22">
        <v>0</v>
      </c>
      <c r="BE40" s="22">
        <v>0</v>
      </c>
      <c r="BF40" s="22">
        <v>0</v>
      </c>
      <c r="BG40" s="22">
        <v>0</v>
      </c>
      <c r="BH40" s="22">
        <v>0</v>
      </c>
      <c r="BI40" s="12">
        <v>0</v>
      </c>
      <c r="BJ40" s="22">
        <v>0</v>
      </c>
      <c r="BK40" s="22">
        <v>0</v>
      </c>
      <c r="BL40" s="22">
        <v>0</v>
      </c>
      <c r="BM40" s="22">
        <v>0</v>
      </c>
      <c r="BN40" s="22">
        <v>0</v>
      </c>
      <c r="BO40" s="22">
        <v>0</v>
      </c>
      <c r="BP40" s="22">
        <v>0</v>
      </c>
      <c r="BQ40" s="22">
        <v>0</v>
      </c>
      <c r="BR40" s="22">
        <v>0</v>
      </c>
      <c r="BS40" s="22">
        <v>0</v>
      </c>
      <c r="BT40" s="22">
        <v>0</v>
      </c>
      <c r="BU40" s="12">
        <v>0</v>
      </c>
      <c r="BV40" s="22">
        <v>0</v>
      </c>
      <c r="BW40" s="22">
        <v>0</v>
      </c>
      <c r="BX40" s="22">
        <v>0</v>
      </c>
      <c r="BY40" s="22">
        <v>0</v>
      </c>
      <c r="BZ40" s="22">
        <v>0</v>
      </c>
      <c r="CA40" s="22">
        <v>0</v>
      </c>
      <c r="CB40" s="22">
        <v>0</v>
      </c>
      <c r="CC40" s="22">
        <v>0</v>
      </c>
      <c r="CD40" s="22">
        <v>0</v>
      </c>
      <c r="CE40" s="22">
        <v>0</v>
      </c>
      <c r="CF40" s="22">
        <v>0</v>
      </c>
      <c r="CG40" s="22">
        <v>0</v>
      </c>
      <c r="CH40" s="20">
        <v>0</v>
      </c>
      <c r="CI40" s="24">
        <v>1</v>
      </c>
      <c r="CJ40" s="24">
        <v>0</v>
      </c>
      <c r="CK40" s="24">
        <v>0</v>
      </c>
      <c r="CL40" s="24">
        <v>0</v>
      </c>
      <c r="CM40" s="24">
        <v>0</v>
      </c>
      <c r="CN40" s="24">
        <v>0</v>
      </c>
      <c r="CO40" s="24">
        <v>0</v>
      </c>
      <c r="CP40" s="24">
        <v>0</v>
      </c>
      <c r="CQ40" s="24">
        <v>0</v>
      </c>
      <c r="CR40" s="24">
        <v>0</v>
      </c>
      <c r="CS40" s="13">
        <v>0</v>
      </c>
      <c r="CT40" s="20">
        <v>0</v>
      </c>
      <c r="CU40" s="24">
        <v>0</v>
      </c>
      <c r="CV40" s="24">
        <v>0</v>
      </c>
      <c r="CW40" s="24">
        <v>0</v>
      </c>
      <c r="CX40" s="24">
        <v>0</v>
      </c>
      <c r="CY40" s="24">
        <v>0</v>
      </c>
      <c r="CZ40" s="24">
        <v>0</v>
      </c>
      <c r="DA40" s="24">
        <v>0</v>
      </c>
      <c r="DB40" s="24">
        <v>0</v>
      </c>
      <c r="DC40" s="24">
        <v>0</v>
      </c>
      <c r="DD40" s="24">
        <v>0</v>
      </c>
      <c r="DE40" s="13">
        <v>0</v>
      </c>
      <c r="DF40" s="20">
        <v>0</v>
      </c>
      <c r="DG40" s="24">
        <v>0</v>
      </c>
      <c r="DH40" s="24">
        <v>0</v>
      </c>
      <c r="DI40" s="24">
        <v>0</v>
      </c>
      <c r="DJ40" s="24">
        <v>0</v>
      </c>
      <c r="DK40" s="24">
        <v>0</v>
      </c>
      <c r="DL40" s="24">
        <v>0</v>
      </c>
      <c r="DM40" s="24">
        <v>0</v>
      </c>
      <c r="DN40" s="24">
        <v>0</v>
      </c>
      <c r="DO40" s="24">
        <v>0</v>
      </c>
      <c r="DP40" s="24">
        <v>0</v>
      </c>
      <c r="DQ40" s="13">
        <v>0</v>
      </c>
      <c r="DR40" s="20">
        <v>0</v>
      </c>
      <c r="DS40" s="24">
        <v>0</v>
      </c>
      <c r="DT40" s="24">
        <v>0</v>
      </c>
      <c r="DU40" s="24">
        <v>0</v>
      </c>
      <c r="DV40" s="24">
        <v>0</v>
      </c>
      <c r="DW40" s="24">
        <v>0</v>
      </c>
      <c r="DX40" s="24">
        <v>0</v>
      </c>
      <c r="DY40" s="24">
        <v>0</v>
      </c>
      <c r="DZ40" s="24">
        <v>0</v>
      </c>
      <c r="EA40" s="24">
        <v>0</v>
      </c>
      <c r="EB40" s="24">
        <v>0</v>
      </c>
      <c r="EC40" s="13">
        <v>0</v>
      </c>
      <c r="ED40" s="13">
        <f t="shared" si="127"/>
        <v>2</v>
      </c>
      <c r="EF40" s="7">
        <f t="shared" si="87"/>
        <v>0</v>
      </c>
      <c r="EG40" s="20">
        <f t="shared" si="88"/>
        <v>0</v>
      </c>
      <c r="EH40" s="24">
        <f t="shared" si="89"/>
        <v>1</v>
      </c>
      <c r="EI40" s="24">
        <f t="shared" si="90"/>
        <v>0</v>
      </c>
      <c r="EJ40" s="13">
        <f t="shared" si="91"/>
        <v>0</v>
      </c>
      <c r="EK40" s="24">
        <f t="shared" si="92"/>
        <v>0</v>
      </c>
      <c r="EL40" s="24">
        <f t="shared" si="93"/>
        <v>0</v>
      </c>
      <c r="EM40" s="24">
        <f t="shared" si="94"/>
        <v>0</v>
      </c>
      <c r="EN40" s="13">
        <f t="shared" si="95"/>
        <v>0</v>
      </c>
      <c r="EO40" s="24">
        <f t="shared" si="96"/>
        <v>0</v>
      </c>
      <c r="EP40" s="24">
        <f t="shared" si="97"/>
        <v>0</v>
      </c>
      <c r="EQ40" s="24">
        <f t="shared" si="98"/>
        <v>0</v>
      </c>
      <c r="ER40" s="13">
        <f t="shared" si="69"/>
        <v>0</v>
      </c>
      <c r="ES40" s="47">
        <f t="shared" si="70"/>
        <v>0</v>
      </c>
      <c r="ET40" s="95">
        <f t="shared" si="71"/>
        <v>0</v>
      </c>
      <c r="EU40" s="95">
        <f t="shared" si="99"/>
        <v>0</v>
      </c>
      <c r="EV40" s="29">
        <f t="shared" si="72"/>
        <v>0</v>
      </c>
      <c r="EW40" s="47">
        <f t="shared" si="115"/>
        <v>0</v>
      </c>
      <c r="EX40" s="95">
        <f t="shared" si="100"/>
        <v>0</v>
      </c>
      <c r="EY40" s="95">
        <f t="shared" si="101"/>
        <v>0</v>
      </c>
      <c r="EZ40" s="29">
        <f t="shared" si="102"/>
        <v>0</v>
      </c>
      <c r="FA40" s="47">
        <f t="shared" si="103"/>
        <v>1</v>
      </c>
      <c r="FB40" s="95">
        <f t="shared" si="104"/>
        <v>0</v>
      </c>
      <c r="FC40" s="95">
        <f t="shared" si="105"/>
        <v>0</v>
      </c>
      <c r="FD40" s="29">
        <f t="shared" si="106"/>
        <v>0</v>
      </c>
      <c r="FE40" s="47">
        <f t="shared" si="116"/>
        <v>0</v>
      </c>
      <c r="FF40" s="95">
        <f t="shared" si="117"/>
        <v>0</v>
      </c>
      <c r="FG40" s="95">
        <f t="shared" si="118"/>
        <v>0</v>
      </c>
      <c r="FH40" s="29">
        <f t="shared" si="119"/>
        <v>0</v>
      </c>
      <c r="FI40" s="47">
        <f t="shared" si="77"/>
        <v>0</v>
      </c>
      <c r="FJ40" s="95">
        <f t="shared" si="78"/>
        <v>0</v>
      </c>
      <c r="FK40" s="95">
        <f t="shared" si="79"/>
        <v>0</v>
      </c>
      <c r="FL40" s="29">
        <f t="shared" si="80"/>
        <v>0</v>
      </c>
      <c r="FM40" s="47">
        <f t="shared" si="107"/>
        <v>0</v>
      </c>
      <c r="FN40" s="95">
        <f t="shared" si="108"/>
        <v>0</v>
      </c>
      <c r="FO40" s="95">
        <f t="shared" si="109"/>
        <v>0</v>
      </c>
      <c r="FP40" s="29">
        <f t="shared" si="110"/>
        <v>0</v>
      </c>
      <c r="FR40" s="20">
        <f t="shared" si="81"/>
        <v>0</v>
      </c>
      <c r="FS40" s="24">
        <f t="shared" si="82"/>
        <v>1</v>
      </c>
      <c r="FT40" s="24">
        <f t="shared" si="83"/>
        <v>0</v>
      </c>
      <c r="FU40" s="24">
        <f t="shared" si="84"/>
        <v>0</v>
      </c>
      <c r="FV40" s="24">
        <f t="shared" si="85"/>
        <v>0</v>
      </c>
      <c r="FW40" s="24">
        <f t="shared" si="111"/>
        <v>0</v>
      </c>
      <c r="FX40" s="24">
        <f t="shared" si="112"/>
        <v>1</v>
      </c>
      <c r="FY40" s="24">
        <f t="shared" si="113"/>
        <v>0</v>
      </c>
      <c r="FZ40" s="95">
        <f t="shared" si="86"/>
        <v>0</v>
      </c>
      <c r="GA40" s="29">
        <f t="shared" si="114"/>
        <v>0</v>
      </c>
    </row>
    <row r="41" spans="1:183">
      <c r="A41" s="120" t="s">
        <v>1549</v>
      </c>
      <c r="B41" s="261"/>
      <c r="C41">
        <v>0</v>
      </c>
      <c r="D41">
        <v>0</v>
      </c>
      <c r="E41">
        <v>0</v>
      </c>
      <c r="F41">
        <v>0</v>
      </c>
      <c r="G41">
        <v>0</v>
      </c>
      <c r="H41">
        <v>0</v>
      </c>
      <c r="I41">
        <v>0</v>
      </c>
      <c r="J41">
        <v>0</v>
      </c>
      <c r="K41">
        <v>0</v>
      </c>
      <c r="L41">
        <v>0</v>
      </c>
      <c r="M41">
        <v>0</v>
      </c>
      <c r="N41" s="155">
        <f>SUM(N42:N49)</f>
        <v>0</v>
      </c>
      <c r="O41" s="155">
        <f t="shared" ref="O41:BZ41" si="128">SUM(O42:O49)</f>
        <v>0</v>
      </c>
      <c r="P41" s="155">
        <f t="shared" si="128"/>
        <v>0</v>
      </c>
      <c r="Q41" s="155">
        <f t="shared" si="128"/>
        <v>0</v>
      </c>
      <c r="R41" s="155">
        <f t="shared" si="128"/>
        <v>0</v>
      </c>
      <c r="S41" s="155">
        <f t="shared" si="128"/>
        <v>0</v>
      </c>
      <c r="T41" s="155">
        <f t="shared" si="128"/>
        <v>0</v>
      </c>
      <c r="U41" s="155">
        <f t="shared" si="128"/>
        <v>0</v>
      </c>
      <c r="V41" s="155">
        <f t="shared" si="128"/>
        <v>0</v>
      </c>
      <c r="W41" s="155">
        <f t="shared" si="128"/>
        <v>0</v>
      </c>
      <c r="X41" s="155">
        <f t="shared" si="128"/>
        <v>0</v>
      </c>
      <c r="Y41" s="177">
        <f t="shared" si="128"/>
        <v>0</v>
      </c>
      <c r="Z41" s="120">
        <f t="shared" si="128"/>
        <v>0</v>
      </c>
      <c r="AA41" s="155">
        <f t="shared" si="128"/>
        <v>0</v>
      </c>
      <c r="AB41" s="155">
        <f t="shared" si="128"/>
        <v>1</v>
      </c>
      <c r="AC41" s="155">
        <f t="shared" si="128"/>
        <v>0</v>
      </c>
      <c r="AD41" s="155">
        <f t="shared" si="128"/>
        <v>0</v>
      </c>
      <c r="AE41" s="155">
        <f t="shared" si="128"/>
        <v>0</v>
      </c>
      <c r="AF41" s="155">
        <f t="shared" si="128"/>
        <v>0</v>
      </c>
      <c r="AG41" s="155">
        <f t="shared" si="128"/>
        <v>0</v>
      </c>
      <c r="AH41" s="155">
        <f t="shared" si="128"/>
        <v>0</v>
      </c>
      <c r="AI41" s="155">
        <f t="shared" si="128"/>
        <v>0</v>
      </c>
      <c r="AJ41" s="155">
        <f t="shared" si="128"/>
        <v>1</v>
      </c>
      <c r="AK41" s="177">
        <f t="shared" si="128"/>
        <v>0</v>
      </c>
      <c r="AL41" s="120">
        <f t="shared" si="128"/>
        <v>0</v>
      </c>
      <c r="AM41" s="155">
        <f t="shared" si="128"/>
        <v>0</v>
      </c>
      <c r="AN41" s="155">
        <f t="shared" si="128"/>
        <v>0</v>
      </c>
      <c r="AO41" s="155">
        <f t="shared" si="128"/>
        <v>0</v>
      </c>
      <c r="AP41" s="155">
        <f t="shared" si="128"/>
        <v>0</v>
      </c>
      <c r="AQ41" s="155">
        <f t="shared" si="128"/>
        <v>2</v>
      </c>
      <c r="AR41" s="155">
        <f t="shared" si="128"/>
        <v>3</v>
      </c>
      <c r="AS41" s="155">
        <f t="shared" si="128"/>
        <v>3</v>
      </c>
      <c r="AT41" s="155">
        <f t="shared" si="128"/>
        <v>0</v>
      </c>
      <c r="AU41" s="155">
        <f t="shared" si="128"/>
        <v>0</v>
      </c>
      <c r="AV41" s="155">
        <f t="shared" si="128"/>
        <v>0</v>
      </c>
      <c r="AW41" s="155">
        <f t="shared" si="128"/>
        <v>1</v>
      </c>
      <c r="AX41" s="120">
        <f t="shared" si="128"/>
        <v>0</v>
      </c>
      <c r="AY41" s="155">
        <f t="shared" si="128"/>
        <v>2</v>
      </c>
      <c r="AZ41" s="155">
        <f t="shared" si="128"/>
        <v>0</v>
      </c>
      <c r="BA41" s="155">
        <f t="shared" si="128"/>
        <v>0</v>
      </c>
      <c r="BB41" s="155">
        <f t="shared" si="128"/>
        <v>0</v>
      </c>
      <c r="BC41" s="155">
        <f t="shared" si="128"/>
        <v>0</v>
      </c>
      <c r="BD41" s="155">
        <f t="shared" si="128"/>
        <v>1</v>
      </c>
      <c r="BE41" s="155">
        <f t="shared" si="128"/>
        <v>1</v>
      </c>
      <c r="BF41" s="155">
        <f t="shared" si="128"/>
        <v>0</v>
      </c>
      <c r="BG41" s="155">
        <f t="shared" si="128"/>
        <v>0</v>
      </c>
      <c r="BH41" s="155">
        <f t="shared" si="128"/>
        <v>0</v>
      </c>
      <c r="BI41" s="177">
        <f t="shared" si="128"/>
        <v>1</v>
      </c>
      <c r="BJ41" s="155">
        <f t="shared" si="128"/>
        <v>0</v>
      </c>
      <c r="BK41" s="155">
        <f t="shared" si="128"/>
        <v>2</v>
      </c>
      <c r="BL41" s="155">
        <f t="shared" si="128"/>
        <v>0</v>
      </c>
      <c r="BM41" s="155">
        <f t="shared" si="128"/>
        <v>3</v>
      </c>
      <c r="BN41" s="155">
        <f t="shared" si="128"/>
        <v>4</v>
      </c>
      <c r="BO41" s="155">
        <f t="shared" si="128"/>
        <v>3</v>
      </c>
      <c r="BP41" s="155">
        <f t="shared" si="128"/>
        <v>4</v>
      </c>
      <c r="BQ41" s="155">
        <f t="shared" si="128"/>
        <v>2</v>
      </c>
      <c r="BR41" s="155">
        <f t="shared" si="128"/>
        <v>4</v>
      </c>
      <c r="BS41" s="155">
        <f t="shared" si="128"/>
        <v>0</v>
      </c>
      <c r="BT41" s="155">
        <f t="shared" si="128"/>
        <v>1</v>
      </c>
      <c r="BU41" s="177">
        <f t="shared" si="128"/>
        <v>0</v>
      </c>
      <c r="BV41" s="155">
        <f t="shared" si="128"/>
        <v>3</v>
      </c>
      <c r="BW41" s="155">
        <f t="shared" si="128"/>
        <v>0</v>
      </c>
      <c r="BX41" s="155">
        <f t="shared" si="128"/>
        <v>0</v>
      </c>
      <c r="BY41" s="155">
        <f t="shared" si="128"/>
        <v>1</v>
      </c>
      <c r="BZ41" s="155">
        <f t="shared" si="128"/>
        <v>0</v>
      </c>
      <c r="CA41" s="155">
        <f t="shared" ref="CA41:ED41" si="129">SUM(CA42:CA49)</f>
        <v>0</v>
      </c>
      <c r="CB41" s="155">
        <f t="shared" si="129"/>
        <v>1</v>
      </c>
      <c r="CC41" s="155">
        <f t="shared" si="129"/>
        <v>0</v>
      </c>
      <c r="CD41" s="155">
        <f t="shared" si="129"/>
        <v>0</v>
      </c>
      <c r="CE41" s="155">
        <f t="shared" si="129"/>
        <v>0</v>
      </c>
      <c r="CF41" s="155">
        <f t="shared" si="129"/>
        <v>2</v>
      </c>
      <c r="CG41" s="155">
        <f t="shared" si="129"/>
        <v>0</v>
      </c>
      <c r="CH41" s="120">
        <f t="shared" si="129"/>
        <v>0</v>
      </c>
      <c r="CI41" s="155">
        <f t="shared" si="129"/>
        <v>0</v>
      </c>
      <c r="CJ41" s="155">
        <f t="shared" si="129"/>
        <v>0</v>
      </c>
      <c r="CK41" s="155">
        <f t="shared" si="129"/>
        <v>2</v>
      </c>
      <c r="CL41" s="155">
        <f t="shared" si="129"/>
        <v>0</v>
      </c>
      <c r="CM41" s="155">
        <f t="shared" si="129"/>
        <v>0</v>
      </c>
      <c r="CN41" s="155">
        <f t="shared" si="129"/>
        <v>0</v>
      </c>
      <c r="CO41" s="155">
        <f t="shared" si="129"/>
        <v>0</v>
      </c>
      <c r="CP41" s="155">
        <f t="shared" si="129"/>
        <v>0</v>
      </c>
      <c r="CQ41" s="155">
        <f t="shared" si="129"/>
        <v>0</v>
      </c>
      <c r="CR41" s="155">
        <f t="shared" si="129"/>
        <v>0</v>
      </c>
      <c r="CS41" s="177">
        <f t="shared" si="129"/>
        <v>0</v>
      </c>
      <c r="CT41" s="120">
        <f t="shared" ref="CT41:DE41" si="130">SUM(CT42:CT49)</f>
        <v>2</v>
      </c>
      <c r="CU41" s="155">
        <f t="shared" si="130"/>
        <v>0</v>
      </c>
      <c r="CV41" s="155">
        <f t="shared" si="130"/>
        <v>0</v>
      </c>
      <c r="CW41" s="155">
        <f t="shared" si="130"/>
        <v>0</v>
      </c>
      <c r="CX41" s="155">
        <f t="shared" si="130"/>
        <v>0</v>
      </c>
      <c r="CY41" s="155">
        <f t="shared" si="130"/>
        <v>0</v>
      </c>
      <c r="CZ41" s="155">
        <f t="shared" si="130"/>
        <v>0</v>
      </c>
      <c r="DA41" s="155">
        <f t="shared" si="130"/>
        <v>0</v>
      </c>
      <c r="DB41" s="155">
        <f t="shared" si="130"/>
        <v>0</v>
      </c>
      <c r="DC41" s="155">
        <f t="shared" si="130"/>
        <v>0</v>
      </c>
      <c r="DD41" s="155">
        <f t="shared" si="130"/>
        <v>0</v>
      </c>
      <c r="DE41" s="177">
        <f t="shared" si="130"/>
        <v>0</v>
      </c>
      <c r="DF41" s="120">
        <f t="shared" ref="DF41:DQ41" si="131">SUM(DF42:DF49)</f>
        <v>0</v>
      </c>
      <c r="DG41" s="155">
        <f t="shared" si="131"/>
        <v>0</v>
      </c>
      <c r="DH41" s="155">
        <f t="shared" si="131"/>
        <v>0</v>
      </c>
      <c r="DI41" s="155">
        <f t="shared" si="131"/>
        <v>0</v>
      </c>
      <c r="DJ41" s="155">
        <f t="shared" si="131"/>
        <v>0</v>
      </c>
      <c r="DK41" s="155">
        <f t="shared" si="131"/>
        <v>0</v>
      </c>
      <c r="DL41" s="155">
        <f t="shared" si="131"/>
        <v>0</v>
      </c>
      <c r="DM41" s="155">
        <f t="shared" si="131"/>
        <v>0</v>
      </c>
      <c r="DN41" s="155">
        <f t="shared" si="131"/>
        <v>0</v>
      </c>
      <c r="DO41" s="155">
        <f t="shared" si="131"/>
        <v>0</v>
      </c>
      <c r="DP41" s="155">
        <f t="shared" si="131"/>
        <v>0</v>
      </c>
      <c r="DQ41" s="177">
        <f t="shared" si="131"/>
        <v>0</v>
      </c>
      <c r="DR41" s="120">
        <f t="shared" ref="DR41:EC41" si="132">SUM(DR42:DR49)</f>
        <v>0</v>
      </c>
      <c r="DS41" s="155">
        <f t="shared" si="132"/>
        <v>0</v>
      </c>
      <c r="DT41" s="155">
        <f t="shared" si="132"/>
        <v>0</v>
      </c>
      <c r="DU41" s="155">
        <f t="shared" si="132"/>
        <v>0</v>
      </c>
      <c r="DV41" s="155">
        <f t="shared" si="132"/>
        <v>0</v>
      </c>
      <c r="DW41" s="155">
        <f t="shared" si="132"/>
        <v>0</v>
      </c>
      <c r="DX41" s="155">
        <f t="shared" si="132"/>
        <v>0</v>
      </c>
      <c r="DY41" s="155">
        <f t="shared" si="132"/>
        <v>0</v>
      </c>
      <c r="DZ41" s="155">
        <f t="shared" si="132"/>
        <v>0</v>
      </c>
      <c r="EA41" s="155">
        <f t="shared" si="132"/>
        <v>0</v>
      </c>
      <c r="EB41" s="155">
        <f t="shared" si="132"/>
        <v>0</v>
      </c>
      <c r="EC41" s="177">
        <f t="shared" si="132"/>
        <v>0</v>
      </c>
      <c r="ED41" s="177">
        <f t="shared" si="129"/>
        <v>50</v>
      </c>
      <c r="EF41" s="36">
        <f t="shared" ref="EF41:FD41" si="133">SUM(EF42:EF49)</f>
        <v>0</v>
      </c>
      <c r="EG41" s="120">
        <f t="shared" si="133"/>
        <v>1</v>
      </c>
      <c r="EH41" s="155">
        <f t="shared" si="133"/>
        <v>0</v>
      </c>
      <c r="EI41" s="155">
        <f t="shared" si="133"/>
        <v>0</v>
      </c>
      <c r="EJ41" s="177">
        <f t="shared" si="133"/>
        <v>1</v>
      </c>
      <c r="EK41" s="155">
        <f t="shared" si="133"/>
        <v>0</v>
      </c>
      <c r="EL41" s="155">
        <f t="shared" si="133"/>
        <v>2</v>
      </c>
      <c r="EM41" s="155">
        <f t="shared" si="133"/>
        <v>6</v>
      </c>
      <c r="EN41" s="177">
        <f t="shared" si="133"/>
        <v>1</v>
      </c>
      <c r="EO41" s="155">
        <f t="shared" si="133"/>
        <v>2</v>
      </c>
      <c r="EP41" s="155">
        <f t="shared" si="133"/>
        <v>0</v>
      </c>
      <c r="EQ41" s="155">
        <f t="shared" si="133"/>
        <v>2</v>
      </c>
      <c r="ER41" s="177">
        <f t="shared" si="133"/>
        <v>0</v>
      </c>
      <c r="ES41" s="134">
        <f t="shared" si="133"/>
        <v>2</v>
      </c>
      <c r="ET41" s="133">
        <f t="shared" si="133"/>
        <v>10</v>
      </c>
      <c r="EU41" s="133">
        <f t="shared" si="133"/>
        <v>10</v>
      </c>
      <c r="EV41" s="138">
        <f t="shared" si="133"/>
        <v>1</v>
      </c>
      <c r="EW41" s="134">
        <f t="shared" si="133"/>
        <v>3</v>
      </c>
      <c r="EX41" s="133">
        <f t="shared" si="133"/>
        <v>1</v>
      </c>
      <c r="EY41" s="133">
        <f t="shared" si="133"/>
        <v>1</v>
      </c>
      <c r="EZ41" s="138">
        <f t="shared" si="133"/>
        <v>2</v>
      </c>
      <c r="FA41" s="134">
        <f t="shared" si="133"/>
        <v>0</v>
      </c>
      <c r="FB41" s="133">
        <f t="shared" si="133"/>
        <v>2</v>
      </c>
      <c r="FC41" s="133">
        <f t="shared" si="133"/>
        <v>0</v>
      </c>
      <c r="FD41" s="138">
        <f t="shared" si="133"/>
        <v>0</v>
      </c>
      <c r="FE41" s="134">
        <f t="shared" si="116"/>
        <v>2</v>
      </c>
      <c r="FF41" s="133">
        <f t="shared" si="117"/>
        <v>0</v>
      </c>
      <c r="FG41" s="133">
        <f t="shared" si="118"/>
        <v>0</v>
      </c>
      <c r="FH41" s="138">
        <f t="shared" si="119"/>
        <v>0</v>
      </c>
      <c r="FI41" s="134">
        <f t="shared" si="77"/>
        <v>0</v>
      </c>
      <c r="FJ41" s="133">
        <f t="shared" si="78"/>
        <v>0</v>
      </c>
      <c r="FK41" s="133">
        <f t="shared" si="79"/>
        <v>0</v>
      </c>
      <c r="FL41" s="138">
        <f t="shared" si="80"/>
        <v>0</v>
      </c>
      <c r="FM41" s="134">
        <f t="shared" si="107"/>
        <v>0</v>
      </c>
      <c r="FN41" s="133">
        <f t="shared" si="108"/>
        <v>0</v>
      </c>
      <c r="FO41" s="133">
        <f t="shared" si="109"/>
        <v>0</v>
      </c>
      <c r="FP41" s="138">
        <f t="shared" si="110"/>
        <v>0</v>
      </c>
      <c r="FR41" s="120">
        <f t="shared" ref="FR41" si="134">SUM(FR42:FR49)</f>
        <v>0</v>
      </c>
      <c r="FS41" s="155">
        <f t="shared" ref="FS41" si="135">SUM(FS42:FS49)</f>
        <v>2</v>
      </c>
      <c r="FT41" s="155">
        <f t="shared" ref="FT41" si="136">SUM(FT42:FT49)</f>
        <v>9</v>
      </c>
      <c r="FU41" s="155">
        <f t="shared" ref="FU41" si="137">SUM(FU42:FU49)</f>
        <v>4</v>
      </c>
      <c r="FV41" s="155">
        <f t="shared" ref="FV41" si="138">SUM(FV42:FV49)</f>
        <v>23</v>
      </c>
      <c r="FW41" s="155">
        <f t="shared" ref="FW41" si="139">SUM(FW42:FW49)</f>
        <v>7</v>
      </c>
      <c r="FX41" s="155">
        <f t="shared" ref="FX41" si="140">SUM(FX42:FX49)</f>
        <v>2</v>
      </c>
      <c r="FY41" s="155">
        <f t="shared" si="113"/>
        <v>2</v>
      </c>
      <c r="FZ41" s="133">
        <f t="shared" si="86"/>
        <v>0</v>
      </c>
      <c r="GA41" s="138">
        <f t="shared" si="114"/>
        <v>0</v>
      </c>
    </row>
    <row r="42" spans="1:183">
      <c r="A42" s="219" t="s">
        <v>1396</v>
      </c>
      <c r="B42" s="915"/>
      <c r="C42" s="191"/>
      <c r="D42" s="191"/>
      <c r="E42" s="191"/>
      <c r="F42" s="191"/>
      <c r="G42" s="191"/>
      <c r="H42" s="191"/>
      <c r="I42" s="191"/>
      <c r="J42" s="191"/>
      <c r="K42" s="191"/>
      <c r="L42" s="191"/>
      <c r="M42" s="191"/>
      <c r="N42" s="458">
        <v>0</v>
      </c>
      <c r="O42" s="458">
        <v>0</v>
      </c>
      <c r="P42" s="458">
        <v>0</v>
      </c>
      <c r="Q42" s="458">
        <v>0</v>
      </c>
      <c r="R42" s="458">
        <v>0</v>
      </c>
      <c r="S42" s="458">
        <v>0</v>
      </c>
      <c r="T42" s="458">
        <v>0</v>
      </c>
      <c r="U42" s="458">
        <v>0</v>
      </c>
      <c r="V42" s="458">
        <v>0</v>
      </c>
      <c r="W42" s="458">
        <v>0</v>
      </c>
      <c r="X42" s="458">
        <v>0</v>
      </c>
      <c r="Y42" s="741">
        <v>0</v>
      </c>
      <c r="Z42" s="219">
        <v>0</v>
      </c>
      <c r="AA42" s="458">
        <v>0</v>
      </c>
      <c r="AB42" s="458">
        <v>0</v>
      </c>
      <c r="AC42" s="458">
        <v>0</v>
      </c>
      <c r="AD42" s="458">
        <v>0</v>
      </c>
      <c r="AE42" s="458">
        <v>0</v>
      </c>
      <c r="AF42" s="458">
        <v>0</v>
      </c>
      <c r="AG42" s="458">
        <v>0</v>
      </c>
      <c r="AH42" s="458">
        <v>0</v>
      </c>
      <c r="AI42" s="458">
        <v>0</v>
      </c>
      <c r="AJ42" s="458">
        <v>0</v>
      </c>
      <c r="AK42" s="741">
        <v>0</v>
      </c>
      <c r="AL42" s="219">
        <v>0</v>
      </c>
      <c r="AM42" s="458">
        <v>0</v>
      </c>
      <c r="AN42" s="458">
        <v>0</v>
      </c>
      <c r="AO42" s="458">
        <v>0</v>
      </c>
      <c r="AP42" s="458">
        <v>0</v>
      </c>
      <c r="AQ42" s="458">
        <v>0</v>
      </c>
      <c r="AR42" s="458">
        <v>0</v>
      </c>
      <c r="AS42" s="458">
        <v>0</v>
      </c>
      <c r="AT42" s="458">
        <v>0</v>
      </c>
      <c r="AU42" s="458">
        <v>0</v>
      </c>
      <c r="AV42" s="458">
        <v>0</v>
      </c>
      <c r="AW42" s="458">
        <v>0</v>
      </c>
      <c r="AX42" s="219">
        <v>0</v>
      </c>
      <c r="AY42" s="458">
        <v>0</v>
      </c>
      <c r="AZ42" s="458">
        <v>0</v>
      </c>
      <c r="BA42" s="458">
        <v>0</v>
      </c>
      <c r="BB42" s="458">
        <v>0</v>
      </c>
      <c r="BC42" s="458">
        <v>0</v>
      </c>
      <c r="BD42" s="458">
        <v>0</v>
      </c>
      <c r="BE42" s="458">
        <v>0</v>
      </c>
      <c r="BF42" s="458">
        <v>0</v>
      </c>
      <c r="BG42" s="458">
        <v>0</v>
      </c>
      <c r="BH42" s="458">
        <v>0</v>
      </c>
      <c r="BI42" s="741">
        <v>0</v>
      </c>
      <c r="BJ42" s="458">
        <v>0</v>
      </c>
      <c r="BK42" s="458">
        <v>0</v>
      </c>
      <c r="BL42" s="458">
        <v>0</v>
      </c>
      <c r="BM42" s="458">
        <v>0</v>
      </c>
      <c r="BN42" s="458">
        <v>0</v>
      </c>
      <c r="BO42" s="458">
        <v>0</v>
      </c>
      <c r="BP42" s="458">
        <v>0</v>
      </c>
      <c r="BQ42" s="458">
        <v>0</v>
      </c>
      <c r="BR42" s="458">
        <v>0</v>
      </c>
      <c r="BS42" s="458">
        <v>0</v>
      </c>
      <c r="BT42" s="458">
        <v>0</v>
      </c>
      <c r="BU42" s="741">
        <v>0</v>
      </c>
      <c r="BV42" s="458">
        <v>0</v>
      </c>
      <c r="BW42" s="458">
        <v>0</v>
      </c>
      <c r="BX42" s="458">
        <v>0</v>
      </c>
      <c r="BY42" s="458">
        <v>0</v>
      </c>
      <c r="BZ42" s="458">
        <v>0</v>
      </c>
      <c r="CA42" s="458">
        <v>0</v>
      </c>
      <c r="CB42" s="458">
        <v>0</v>
      </c>
      <c r="CC42" s="458">
        <v>0</v>
      </c>
      <c r="CD42" s="458">
        <v>0</v>
      </c>
      <c r="CE42" s="458">
        <v>0</v>
      </c>
      <c r="CF42" s="458">
        <v>0</v>
      </c>
      <c r="CG42" s="458">
        <v>0</v>
      </c>
      <c r="CH42" s="219">
        <v>0</v>
      </c>
      <c r="CI42" s="458">
        <v>0</v>
      </c>
      <c r="CJ42" s="458">
        <v>0</v>
      </c>
      <c r="CK42" s="458">
        <v>2</v>
      </c>
      <c r="CL42" s="458">
        <v>0</v>
      </c>
      <c r="CM42" s="458">
        <v>0</v>
      </c>
      <c r="CN42" s="458">
        <v>0</v>
      </c>
      <c r="CO42" s="458">
        <v>0</v>
      </c>
      <c r="CP42" s="458">
        <v>0</v>
      </c>
      <c r="CQ42" s="458">
        <v>0</v>
      </c>
      <c r="CR42" s="458">
        <v>0</v>
      </c>
      <c r="CS42" s="741">
        <v>0</v>
      </c>
      <c r="CT42" s="219">
        <v>0</v>
      </c>
      <c r="CU42" s="458">
        <v>0</v>
      </c>
      <c r="CV42" s="458">
        <v>0</v>
      </c>
      <c r="CW42" s="458">
        <v>0</v>
      </c>
      <c r="CX42" s="458">
        <v>0</v>
      </c>
      <c r="CY42" s="458">
        <v>0</v>
      </c>
      <c r="CZ42" s="458">
        <v>0</v>
      </c>
      <c r="DA42" s="458">
        <v>0</v>
      </c>
      <c r="DB42" s="458">
        <v>0</v>
      </c>
      <c r="DC42" s="458">
        <v>0</v>
      </c>
      <c r="DD42" s="458">
        <v>0</v>
      </c>
      <c r="DE42" s="741">
        <v>0</v>
      </c>
      <c r="DF42" s="219">
        <v>0</v>
      </c>
      <c r="DG42" s="458">
        <v>0</v>
      </c>
      <c r="DH42" s="458">
        <v>0</v>
      </c>
      <c r="DI42" s="458">
        <v>0</v>
      </c>
      <c r="DJ42" s="458">
        <v>0</v>
      </c>
      <c r="DK42" s="458">
        <v>0</v>
      </c>
      <c r="DL42" s="458">
        <v>0</v>
      </c>
      <c r="DM42" s="458">
        <v>0</v>
      </c>
      <c r="DN42" s="458">
        <v>0</v>
      </c>
      <c r="DO42" s="458">
        <v>0</v>
      </c>
      <c r="DP42" s="458">
        <v>0</v>
      </c>
      <c r="DQ42" s="741">
        <v>0</v>
      </c>
      <c r="DR42" s="219">
        <v>0</v>
      </c>
      <c r="DS42" s="458">
        <v>0</v>
      </c>
      <c r="DT42" s="458">
        <v>0</v>
      </c>
      <c r="DU42" s="458">
        <v>0</v>
      </c>
      <c r="DV42" s="458">
        <v>0</v>
      </c>
      <c r="DW42" s="458">
        <v>0</v>
      </c>
      <c r="DX42" s="458">
        <v>0</v>
      </c>
      <c r="DY42" s="458">
        <v>0</v>
      </c>
      <c r="DZ42" s="458">
        <v>0</v>
      </c>
      <c r="EA42" s="458">
        <v>0</v>
      </c>
      <c r="EB42" s="458">
        <v>0</v>
      </c>
      <c r="EC42" s="741">
        <v>0</v>
      </c>
      <c r="ED42" s="12">
        <f t="shared" ref="ED42:ED49" si="141">SUM(N42:EC42)</f>
        <v>2</v>
      </c>
      <c r="EF42" s="6">
        <f t="shared" ref="EF42" si="142">+W42+X42+Y42</f>
        <v>0</v>
      </c>
      <c r="EG42" s="19">
        <f t="shared" ref="EG42" si="143">+Z42+AA42+AB42</f>
        <v>0</v>
      </c>
      <c r="EH42" s="22">
        <f t="shared" ref="EH42" si="144">+AC42+AD42+AE42</f>
        <v>0</v>
      </c>
      <c r="EI42" s="22">
        <f t="shared" ref="EI42" si="145">+AF42+AG42+AH42</f>
        <v>0</v>
      </c>
      <c r="EJ42" s="12">
        <f t="shared" ref="EJ42" si="146">+AI42+AJ42+AK42</f>
        <v>0</v>
      </c>
      <c r="EK42" s="22">
        <f t="shared" ref="EK42" si="147">+AL42+AM42+AN42</f>
        <v>0</v>
      </c>
      <c r="EL42" s="22">
        <f t="shared" ref="EL42" si="148">+AO42+AP42+AQ42</f>
        <v>0</v>
      </c>
      <c r="EM42" s="22">
        <f t="shared" ref="EM42" si="149">+AR42+AS42+AT42</f>
        <v>0</v>
      </c>
      <c r="EN42" s="12">
        <f t="shared" ref="EN42" si="150">+AU42+AV42+AW42</f>
        <v>0</v>
      </c>
      <c r="EO42" s="22">
        <f t="shared" ref="EO42" si="151">+AX42+AY42+AZ42</f>
        <v>0</v>
      </c>
      <c r="EP42" s="22">
        <f t="shared" ref="EP42" si="152">+BA42+BB42+BC42</f>
        <v>0</v>
      </c>
      <c r="EQ42" s="22">
        <f t="shared" ref="EQ42" si="153">+BD42+BE42+BF42</f>
        <v>0</v>
      </c>
      <c r="ER42" s="12">
        <f t="shared" ref="ER42" si="154">+BG42+BH42+BU42</f>
        <v>0</v>
      </c>
      <c r="ES42" s="90">
        <f t="shared" ref="ES42" si="155">SUM(BJ42:BL42)</f>
        <v>0</v>
      </c>
      <c r="ET42" s="94">
        <f t="shared" ref="ET42" si="156">SUM(BM42:BO42)</f>
        <v>0</v>
      </c>
      <c r="EU42" s="94">
        <f t="shared" ref="EU42" si="157">SUM(BP42:BR42)</f>
        <v>0</v>
      </c>
      <c r="EV42" s="28">
        <f t="shared" ref="EV42" si="158">SUM(BS42:BU42)</f>
        <v>0</v>
      </c>
      <c r="EW42" s="90">
        <f t="shared" ref="EW42" si="159">SUM(BV42:BX42)</f>
        <v>0</v>
      </c>
      <c r="EX42" s="94">
        <f t="shared" ref="EX42" si="160">SUM(BY42:CA42)</f>
        <v>0</v>
      </c>
      <c r="EY42" s="94">
        <f t="shared" ref="EY42" si="161">SUM(CB42:CD42)</f>
        <v>0</v>
      </c>
      <c r="EZ42" s="28">
        <f t="shared" ref="EZ42" si="162">SUM(CE42:CG42)</f>
        <v>0</v>
      </c>
      <c r="FA42" s="90">
        <f t="shared" ref="FA42" si="163">SUM(CH42:CJ42)</f>
        <v>0</v>
      </c>
      <c r="FB42" s="94">
        <f t="shared" ref="FB42" si="164">SUM(CK42:CM42)</f>
        <v>2</v>
      </c>
      <c r="FC42" s="94">
        <f t="shared" ref="FC42" si="165">SUM(CN42:CP42)</f>
        <v>0</v>
      </c>
      <c r="FD42" s="28">
        <f t="shared" ref="FD42" si="166">SUM(CQ42:CS42)</f>
        <v>0</v>
      </c>
      <c r="FE42" s="90">
        <f t="shared" si="116"/>
        <v>0</v>
      </c>
      <c r="FF42" s="94">
        <f t="shared" si="117"/>
        <v>0</v>
      </c>
      <c r="FG42" s="94">
        <f t="shared" si="118"/>
        <v>0</v>
      </c>
      <c r="FH42" s="28">
        <f t="shared" si="119"/>
        <v>0</v>
      </c>
      <c r="FI42" s="90">
        <f t="shared" si="77"/>
        <v>0</v>
      </c>
      <c r="FJ42" s="94">
        <f t="shared" si="78"/>
        <v>0</v>
      </c>
      <c r="FK42" s="94">
        <f t="shared" si="79"/>
        <v>0</v>
      </c>
      <c r="FL42" s="28">
        <f t="shared" si="80"/>
        <v>0</v>
      </c>
      <c r="FM42" s="90">
        <f t="shared" si="107"/>
        <v>0</v>
      </c>
      <c r="FN42" s="94">
        <f t="shared" si="108"/>
        <v>0</v>
      </c>
      <c r="FO42" s="94">
        <f t="shared" si="109"/>
        <v>0</v>
      </c>
      <c r="FP42" s="28">
        <f t="shared" si="110"/>
        <v>0</v>
      </c>
      <c r="FR42" s="19">
        <f t="shared" ref="FR42" si="167">SUM(EF42:EF42)</f>
        <v>0</v>
      </c>
      <c r="FS42" s="22">
        <f t="shared" ref="FS42" si="168">SUM(EG42:EJ42)</f>
        <v>0</v>
      </c>
      <c r="FT42" s="22">
        <f t="shared" ref="FT42" si="169">SUM(EK42:EN42)</f>
        <v>0</v>
      </c>
      <c r="FU42" s="22">
        <f t="shared" ref="FU42" si="170">SUM(EO42:ER42)</f>
        <v>0</v>
      </c>
      <c r="FV42" s="22">
        <f t="shared" ref="FV42" si="171">SUM(ES42:EV42)</f>
        <v>0</v>
      </c>
      <c r="FW42" s="22">
        <f t="shared" ref="FW42" si="172">SUM(EW42:EZ42)</f>
        <v>0</v>
      </c>
      <c r="FX42" s="22">
        <f t="shared" ref="FX42" si="173">SUM(FA42:FD42)</f>
        <v>2</v>
      </c>
      <c r="FY42" s="22">
        <f t="shared" si="113"/>
        <v>0</v>
      </c>
      <c r="FZ42" s="94">
        <f t="shared" si="86"/>
        <v>0</v>
      </c>
      <c r="GA42" s="28">
        <f t="shared" si="114"/>
        <v>0</v>
      </c>
    </row>
    <row r="43" spans="1:183">
      <c r="A43" s="125" t="s">
        <v>558</v>
      </c>
      <c r="B43" s="261"/>
      <c r="C43">
        <v>0</v>
      </c>
      <c r="D43">
        <v>0</v>
      </c>
      <c r="E43">
        <v>0</v>
      </c>
      <c r="F43">
        <v>0</v>
      </c>
      <c r="G43">
        <v>0</v>
      </c>
      <c r="H43">
        <v>0</v>
      </c>
      <c r="I43">
        <v>0</v>
      </c>
      <c r="J43">
        <v>0</v>
      </c>
      <c r="K43">
        <v>0</v>
      </c>
      <c r="L43">
        <v>0</v>
      </c>
      <c r="M43">
        <v>0</v>
      </c>
      <c r="N43" s="22">
        <v>0</v>
      </c>
      <c r="O43" s="22">
        <v>0</v>
      </c>
      <c r="P43" s="22">
        <v>0</v>
      </c>
      <c r="Q43" s="22">
        <v>0</v>
      </c>
      <c r="R43" s="22">
        <v>0</v>
      </c>
      <c r="S43" s="22">
        <v>0</v>
      </c>
      <c r="T43" s="22">
        <v>0</v>
      </c>
      <c r="U43" s="22">
        <v>0</v>
      </c>
      <c r="V43" s="22">
        <v>0</v>
      </c>
      <c r="W43" s="22">
        <v>0</v>
      </c>
      <c r="X43" s="22">
        <v>0</v>
      </c>
      <c r="Y43" s="12">
        <v>0</v>
      </c>
      <c r="Z43" s="19">
        <v>0</v>
      </c>
      <c r="AA43" s="22">
        <v>0</v>
      </c>
      <c r="AB43" s="22">
        <v>1</v>
      </c>
      <c r="AC43" s="22">
        <v>0</v>
      </c>
      <c r="AD43" s="22">
        <v>0</v>
      </c>
      <c r="AE43" s="22">
        <v>0</v>
      </c>
      <c r="AF43" s="22">
        <v>0</v>
      </c>
      <c r="AG43" s="22">
        <v>0</v>
      </c>
      <c r="AH43" s="22">
        <v>0</v>
      </c>
      <c r="AI43" s="22">
        <v>0</v>
      </c>
      <c r="AJ43" s="22">
        <v>1</v>
      </c>
      <c r="AK43" s="12">
        <v>0</v>
      </c>
      <c r="AL43" s="19">
        <v>0</v>
      </c>
      <c r="AM43" s="22">
        <v>0</v>
      </c>
      <c r="AN43" s="22">
        <v>0</v>
      </c>
      <c r="AO43" s="22">
        <v>0</v>
      </c>
      <c r="AP43" s="22">
        <v>0</v>
      </c>
      <c r="AQ43" s="22">
        <v>0</v>
      </c>
      <c r="AR43" s="22">
        <v>0</v>
      </c>
      <c r="AS43" s="22">
        <v>3</v>
      </c>
      <c r="AT43" s="22">
        <v>0</v>
      </c>
      <c r="AU43" s="22">
        <v>0</v>
      </c>
      <c r="AV43" s="22">
        <v>0</v>
      </c>
      <c r="AW43" s="22">
        <v>1</v>
      </c>
      <c r="AX43" s="19">
        <v>0</v>
      </c>
      <c r="AY43" s="22">
        <v>0</v>
      </c>
      <c r="AZ43" s="22">
        <v>0</v>
      </c>
      <c r="BA43" s="22">
        <v>0</v>
      </c>
      <c r="BB43" s="22">
        <v>0</v>
      </c>
      <c r="BC43" s="22">
        <v>0</v>
      </c>
      <c r="BD43" s="22">
        <v>0</v>
      </c>
      <c r="BE43" s="22">
        <v>1</v>
      </c>
      <c r="BF43" s="22">
        <v>0</v>
      </c>
      <c r="BG43" s="22">
        <v>0</v>
      </c>
      <c r="BH43" s="22">
        <v>0</v>
      </c>
      <c r="BI43" s="12">
        <v>1</v>
      </c>
      <c r="BJ43" s="22">
        <v>0</v>
      </c>
      <c r="BK43" s="22">
        <v>0</v>
      </c>
      <c r="BL43" s="22">
        <v>0</v>
      </c>
      <c r="BM43" s="22">
        <v>0</v>
      </c>
      <c r="BN43" s="22">
        <v>0</v>
      </c>
      <c r="BO43" s="22">
        <v>0</v>
      </c>
      <c r="BP43" s="22">
        <v>1</v>
      </c>
      <c r="BQ43" s="22">
        <v>0</v>
      </c>
      <c r="BR43" s="22">
        <v>2</v>
      </c>
      <c r="BS43" s="22">
        <v>0</v>
      </c>
      <c r="BT43" s="22">
        <v>1</v>
      </c>
      <c r="BU43" s="12">
        <v>0</v>
      </c>
      <c r="BV43" s="22">
        <v>0</v>
      </c>
      <c r="BW43" s="22">
        <v>0</v>
      </c>
      <c r="BX43" s="22">
        <v>0</v>
      </c>
      <c r="BY43" s="22">
        <v>0</v>
      </c>
      <c r="BZ43" s="22">
        <v>0</v>
      </c>
      <c r="CA43" s="22">
        <v>0</v>
      </c>
      <c r="CB43" s="22">
        <v>0</v>
      </c>
      <c r="CC43" s="22">
        <v>0</v>
      </c>
      <c r="CD43" s="22">
        <v>0</v>
      </c>
      <c r="CE43" s="22">
        <v>0</v>
      </c>
      <c r="CF43" s="22">
        <v>1</v>
      </c>
      <c r="CG43" s="22">
        <v>0</v>
      </c>
      <c r="CH43" s="19">
        <v>0</v>
      </c>
      <c r="CI43" s="22">
        <v>0</v>
      </c>
      <c r="CJ43" s="22">
        <v>0</v>
      </c>
      <c r="CK43" s="22">
        <v>0</v>
      </c>
      <c r="CL43" s="22">
        <v>0</v>
      </c>
      <c r="CM43" s="22">
        <v>0</v>
      </c>
      <c r="CN43" s="22">
        <v>0</v>
      </c>
      <c r="CO43" s="22">
        <v>0</v>
      </c>
      <c r="CP43" s="22">
        <v>0</v>
      </c>
      <c r="CQ43" s="22">
        <v>0</v>
      </c>
      <c r="CR43" s="22">
        <v>0</v>
      </c>
      <c r="CS43" s="12">
        <v>0</v>
      </c>
      <c r="CT43" s="19">
        <v>0</v>
      </c>
      <c r="CU43" s="22">
        <v>0</v>
      </c>
      <c r="CV43" s="22">
        <v>0</v>
      </c>
      <c r="CW43" s="22">
        <v>0</v>
      </c>
      <c r="CX43" s="22">
        <v>0</v>
      </c>
      <c r="CY43" s="22">
        <v>0</v>
      </c>
      <c r="CZ43" s="22">
        <v>0</v>
      </c>
      <c r="DA43" s="22">
        <v>0</v>
      </c>
      <c r="DB43" s="22">
        <v>0</v>
      </c>
      <c r="DC43" s="22">
        <v>0</v>
      </c>
      <c r="DD43" s="22">
        <v>0</v>
      </c>
      <c r="DE43" s="12">
        <v>0</v>
      </c>
      <c r="DF43" s="19">
        <v>0</v>
      </c>
      <c r="DG43" s="22">
        <v>0</v>
      </c>
      <c r="DH43" s="22">
        <v>0</v>
      </c>
      <c r="DI43" s="22">
        <v>0</v>
      </c>
      <c r="DJ43" s="22">
        <v>0</v>
      </c>
      <c r="DK43" s="22">
        <v>0</v>
      </c>
      <c r="DL43" s="22">
        <v>0</v>
      </c>
      <c r="DM43" s="22">
        <v>0</v>
      </c>
      <c r="DN43" s="22">
        <v>0</v>
      </c>
      <c r="DO43" s="22">
        <v>0</v>
      </c>
      <c r="DP43" s="22">
        <v>0</v>
      </c>
      <c r="DQ43" s="12">
        <v>0</v>
      </c>
      <c r="DR43" s="19">
        <v>0</v>
      </c>
      <c r="DS43" s="22">
        <v>0</v>
      </c>
      <c r="DT43" s="22">
        <v>0</v>
      </c>
      <c r="DU43" s="22">
        <v>0</v>
      </c>
      <c r="DV43" s="22">
        <v>0</v>
      </c>
      <c r="DW43" s="22">
        <v>0</v>
      </c>
      <c r="DX43" s="22">
        <v>0</v>
      </c>
      <c r="DY43" s="22">
        <v>0</v>
      </c>
      <c r="DZ43" s="22">
        <v>0</v>
      </c>
      <c r="EA43" s="22">
        <v>0</v>
      </c>
      <c r="EB43" s="22">
        <v>0</v>
      </c>
      <c r="EC43" s="12">
        <v>0</v>
      </c>
      <c r="ED43" s="12">
        <f t="shared" si="141"/>
        <v>13</v>
      </c>
      <c r="EF43" s="6">
        <f t="shared" si="87"/>
        <v>0</v>
      </c>
      <c r="EG43" s="19">
        <f t="shared" si="88"/>
        <v>1</v>
      </c>
      <c r="EH43" s="22">
        <f t="shared" si="89"/>
        <v>0</v>
      </c>
      <c r="EI43" s="22">
        <f t="shared" si="90"/>
        <v>0</v>
      </c>
      <c r="EJ43" s="12">
        <f t="shared" si="91"/>
        <v>1</v>
      </c>
      <c r="EK43" s="22">
        <f t="shared" si="92"/>
        <v>0</v>
      </c>
      <c r="EL43" s="22">
        <f t="shared" si="93"/>
        <v>0</v>
      </c>
      <c r="EM43" s="22">
        <f t="shared" si="94"/>
        <v>3</v>
      </c>
      <c r="EN43" s="12">
        <f t="shared" si="95"/>
        <v>1</v>
      </c>
      <c r="EO43" s="22">
        <f t="shared" si="96"/>
        <v>0</v>
      </c>
      <c r="EP43" s="22">
        <f t="shared" si="97"/>
        <v>0</v>
      </c>
      <c r="EQ43" s="22">
        <f t="shared" si="98"/>
        <v>1</v>
      </c>
      <c r="ER43" s="12">
        <f t="shared" ref="ER43:ER49" si="174">+BG43+BH43+BU43</f>
        <v>0</v>
      </c>
      <c r="ES43" s="90">
        <f t="shared" si="70"/>
        <v>0</v>
      </c>
      <c r="ET43" s="94">
        <f t="shared" si="71"/>
        <v>0</v>
      </c>
      <c r="EU43" s="94">
        <f t="shared" si="99"/>
        <v>3</v>
      </c>
      <c r="EV43" s="28">
        <f t="shared" si="72"/>
        <v>1</v>
      </c>
      <c r="EW43" s="90">
        <f t="shared" si="115"/>
        <v>0</v>
      </c>
      <c r="EX43" s="94">
        <f t="shared" si="100"/>
        <v>0</v>
      </c>
      <c r="EY43" s="94">
        <f t="shared" si="101"/>
        <v>0</v>
      </c>
      <c r="EZ43" s="28">
        <f t="shared" si="102"/>
        <v>1</v>
      </c>
      <c r="FA43" s="90">
        <f t="shared" si="103"/>
        <v>0</v>
      </c>
      <c r="FB43" s="94">
        <f t="shared" si="104"/>
        <v>0</v>
      </c>
      <c r="FC43" s="94">
        <f t="shared" si="105"/>
        <v>0</v>
      </c>
      <c r="FD43" s="28">
        <f t="shared" si="106"/>
        <v>0</v>
      </c>
      <c r="FE43" s="90">
        <f t="shared" si="116"/>
        <v>0</v>
      </c>
      <c r="FF43" s="94">
        <f t="shared" si="117"/>
        <v>0</v>
      </c>
      <c r="FG43" s="94">
        <f t="shared" si="118"/>
        <v>0</v>
      </c>
      <c r="FH43" s="28">
        <f t="shared" si="119"/>
        <v>0</v>
      </c>
      <c r="FI43" s="90">
        <f t="shared" si="77"/>
        <v>0</v>
      </c>
      <c r="FJ43" s="94">
        <f t="shared" si="78"/>
        <v>0</v>
      </c>
      <c r="FK43" s="94">
        <f t="shared" si="79"/>
        <v>0</v>
      </c>
      <c r="FL43" s="28">
        <f t="shared" si="80"/>
        <v>0</v>
      </c>
      <c r="FM43" s="90">
        <f t="shared" si="107"/>
        <v>0</v>
      </c>
      <c r="FN43" s="94">
        <f t="shared" si="108"/>
        <v>0</v>
      </c>
      <c r="FO43" s="94">
        <f t="shared" si="109"/>
        <v>0</v>
      </c>
      <c r="FP43" s="28">
        <f t="shared" si="110"/>
        <v>0</v>
      </c>
      <c r="FR43" s="19">
        <f t="shared" si="81"/>
        <v>0</v>
      </c>
      <c r="FS43" s="22">
        <f t="shared" si="82"/>
        <v>2</v>
      </c>
      <c r="FT43" s="22">
        <f t="shared" si="83"/>
        <v>4</v>
      </c>
      <c r="FU43" s="22">
        <f t="shared" si="84"/>
        <v>1</v>
      </c>
      <c r="FV43" s="22">
        <f t="shared" si="85"/>
        <v>4</v>
      </c>
      <c r="FW43" s="22">
        <f t="shared" si="111"/>
        <v>1</v>
      </c>
      <c r="FX43" s="22">
        <f t="shared" si="112"/>
        <v>0</v>
      </c>
      <c r="FY43" s="22">
        <f t="shared" si="113"/>
        <v>0</v>
      </c>
      <c r="FZ43" s="94">
        <f t="shared" si="86"/>
        <v>0</v>
      </c>
      <c r="GA43" s="28">
        <f t="shared" si="114"/>
        <v>0</v>
      </c>
    </row>
    <row r="44" spans="1:183">
      <c r="A44" s="219" t="s">
        <v>1598</v>
      </c>
      <c r="B44" s="261"/>
      <c r="N44" s="22">
        <v>0</v>
      </c>
      <c r="O44" s="22">
        <v>0</v>
      </c>
      <c r="P44" s="22">
        <v>0</v>
      </c>
      <c r="Q44" s="22">
        <v>0</v>
      </c>
      <c r="R44" s="22">
        <v>0</v>
      </c>
      <c r="S44" s="22">
        <v>0</v>
      </c>
      <c r="T44" s="22">
        <v>0</v>
      </c>
      <c r="U44" s="22">
        <v>0</v>
      </c>
      <c r="V44" s="22">
        <v>0</v>
      </c>
      <c r="W44" s="22">
        <v>0</v>
      </c>
      <c r="X44" s="22">
        <v>0</v>
      </c>
      <c r="Y44" s="12">
        <v>0</v>
      </c>
      <c r="Z44" s="19">
        <v>0</v>
      </c>
      <c r="AA44" s="22">
        <v>0</v>
      </c>
      <c r="AB44" s="22">
        <v>0</v>
      </c>
      <c r="AC44" s="22">
        <v>0</v>
      </c>
      <c r="AD44" s="22">
        <v>0</v>
      </c>
      <c r="AE44" s="22">
        <v>0</v>
      </c>
      <c r="AF44" s="22">
        <v>0</v>
      </c>
      <c r="AG44" s="22">
        <v>0</v>
      </c>
      <c r="AH44" s="22">
        <v>0</v>
      </c>
      <c r="AI44" s="22">
        <v>0</v>
      </c>
      <c r="AJ44" s="22">
        <v>0</v>
      </c>
      <c r="AK44" s="12">
        <v>0</v>
      </c>
      <c r="AL44" s="19">
        <v>0</v>
      </c>
      <c r="AM44" s="22">
        <v>0</v>
      </c>
      <c r="AN44" s="22">
        <v>0</v>
      </c>
      <c r="AO44" s="22">
        <v>0</v>
      </c>
      <c r="AP44" s="22">
        <v>0</v>
      </c>
      <c r="AQ44" s="22">
        <v>0</v>
      </c>
      <c r="AR44" s="22">
        <v>0</v>
      </c>
      <c r="AS44" s="22">
        <v>0</v>
      </c>
      <c r="AT44" s="22">
        <v>0</v>
      </c>
      <c r="AU44" s="22">
        <v>0</v>
      </c>
      <c r="AV44" s="22">
        <v>0</v>
      </c>
      <c r="AW44" s="22">
        <v>0</v>
      </c>
      <c r="AX44" s="19">
        <v>0</v>
      </c>
      <c r="AY44" s="22">
        <v>0</v>
      </c>
      <c r="AZ44" s="22">
        <v>0</v>
      </c>
      <c r="BA44" s="22">
        <v>0</v>
      </c>
      <c r="BB44" s="22">
        <v>0</v>
      </c>
      <c r="BC44" s="22">
        <v>0</v>
      </c>
      <c r="BD44" s="22">
        <v>0</v>
      </c>
      <c r="BE44" s="22">
        <v>0</v>
      </c>
      <c r="BF44" s="22">
        <v>0</v>
      </c>
      <c r="BG44" s="22">
        <v>0</v>
      </c>
      <c r="BH44" s="22">
        <v>0</v>
      </c>
      <c r="BI44" s="12">
        <v>0</v>
      </c>
      <c r="BJ44" s="22">
        <v>0</v>
      </c>
      <c r="BK44" s="22">
        <v>0</v>
      </c>
      <c r="BL44" s="22">
        <v>0</v>
      </c>
      <c r="BM44" s="22">
        <v>0</v>
      </c>
      <c r="BN44" s="22">
        <v>0</v>
      </c>
      <c r="BO44" s="22">
        <v>0</v>
      </c>
      <c r="BP44" s="22">
        <v>0</v>
      </c>
      <c r="BQ44" s="22">
        <v>2</v>
      </c>
      <c r="BR44" s="22">
        <v>1</v>
      </c>
      <c r="BS44" s="22">
        <v>0</v>
      </c>
      <c r="BT44" s="22">
        <v>0</v>
      </c>
      <c r="BU44" s="12">
        <v>0</v>
      </c>
      <c r="BV44" s="22">
        <v>0</v>
      </c>
      <c r="BW44" s="22">
        <v>0</v>
      </c>
      <c r="BX44" s="22">
        <v>0</v>
      </c>
      <c r="BY44" s="22">
        <v>0</v>
      </c>
      <c r="BZ44" s="22">
        <v>0</v>
      </c>
      <c r="CA44" s="22">
        <v>0</v>
      </c>
      <c r="CB44" s="22">
        <v>0</v>
      </c>
      <c r="CC44" s="22">
        <v>0</v>
      </c>
      <c r="CD44" s="22">
        <v>0</v>
      </c>
      <c r="CE44" s="22">
        <v>0</v>
      </c>
      <c r="CF44" s="22">
        <v>0</v>
      </c>
      <c r="CG44" s="22">
        <v>0</v>
      </c>
      <c r="CH44" s="19">
        <v>0</v>
      </c>
      <c r="CI44" s="22">
        <v>0</v>
      </c>
      <c r="CJ44" s="22">
        <v>0</v>
      </c>
      <c r="CK44" s="22">
        <v>0</v>
      </c>
      <c r="CL44" s="22">
        <v>0</v>
      </c>
      <c r="CM44" s="22">
        <v>0</v>
      </c>
      <c r="CN44" s="22">
        <v>0</v>
      </c>
      <c r="CO44" s="22">
        <v>0</v>
      </c>
      <c r="CP44" s="22">
        <v>0</v>
      </c>
      <c r="CQ44" s="22">
        <v>0</v>
      </c>
      <c r="CR44" s="22">
        <v>0</v>
      </c>
      <c r="CS44" s="12">
        <v>0</v>
      </c>
      <c r="CT44" s="19">
        <v>0</v>
      </c>
      <c r="CU44" s="22">
        <v>0</v>
      </c>
      <c r="CV44" s="22">
        <v>0</v>
      </c>
      <c r="CW44" s="22">
        <v>0</v>
      </c>
      <c r="CX44" s="22">
        <v>0</v>
      </c>
      <c r="CY44" s="22">
        <v>0</v>
      </c>
      <c r="CZ44" s="22">
        <v>0</v>
      </c>
      <c r="DA44" s="22">
        <v>0</v>
      </c>
      <c r="DB44" s="22">
        <v>0</v>
      </c>
      <c r="DC44" s="22">
        <v>0</v>
      </c>
      <c r="DD44" s="22">
        <v>0</v>
      </c>
      <c r="DE44" s="12">
        <v>0</v>
      </c>
      <c r="DF44" s="19">
        <v>0</v>
      </c>
      <c r="DG44" s="22">
        <v>0</v>
      </c>
      <c r="DH44" s="22">
        <v>0</v>
      </c>
      <c r="DI44" s="22">
        <v>0</v>
      </c>
      <c r="DJ44" s="22">
        <v>0</v>
      </c>
      <c r="DK44" s="22">
        <v>0</v>
      </c>
      <c r="DL44" s="22">
        <v>0</v>
      </c>
      <c r="DM44" s="22">
        <v>0</v>
      </c>
      <c r="DN44" s="22">
        <v>0</v>
      </c>
      <c r="DO44" s="22">
        <v>0</v>
      </c>
      <c r="DP44" s="22">
        <v>0</v>
      </c>
      <c r="DQ44" s="12">
        <v>0</v>
      </c>
      <c r="DR44" s="19">
        <v>0</v>
      </c>
      <c r="DS44" s="22">
        <v>0</v>
      </c>
      <c r="DT44" s="22">
        <v>0</v>
      </c>
      <c r="DU44" s="22">
        <v>0</v>
      </c>
      <c r="DV44" s="22">
        <v>0</v>
      </c>
      <c r="DW44" s="22">
        <v>0</v>
      </c>
      <c r="DX44" s="22">
        <v>0</v>
      </c>
      <c r="DY44" s="22">
        <v>0</v>
      </c>
      <c r="DZ44" s="22">
        <v>0</v>
      </c>
      <c r="EA44" s="22">
        <v>0</v>
      </c>
      <c r="EB44" s="22">
        <v>0</v>
      </c>
      <c r="EC44" s="12">
        <v>0</v>
      </c>
      <c r="ED44" s="12">
        <f t="shared" si="141"/>
        <v>3</v>
      </c>
      <c r="EF44" s="6">
        <f>+W44+X44+Y44</f>
        <v>0</v>
      </c>
      <c r="EG44" s="19">
        <f>+Z44+AA44+AB44</f>
        <v>0</v>
      </c>
      <c r="EH44" s="22">
        <f>+AC44+AD44+AE44</f>
        <v>0</v>
      </c>
      <c r="EI44" s="22">
        <f>+AF44+AG44+AH44</f>
        <v>0</v>
      </c>
      <c r="EJ44" s="12">
        <f>+AI44+AJ44+AK44</f>
        <v>0</v>
      </c>
      <c r="EK44" s="22">
        <f>+AL44+AM44+AN44</f>
        <v>0</v>
      </c>
      <c r="EL44" s="22">
        <f>+AO44+AP44+AQ44</f>
        <v>0</v>
      </c>
      <c r="EM44" s="22">
        <f>+AR44+AS44+AT44</f>
        <v>0</v>
      </c>
      <c r="EN44" s="12">
        <f>+AU44+AV44+AW44</f>
        <v>0</v>
      </c>
      <c r="EO44" s="22">
        <f>+AX44+AY44+AZ44</f>
        <v>0</v>
      </c>
      <c r="EP44" s="22">
        <f>+BA44+BB44+BC44</f>
        <v>0</v>
      </c>
      <c r="EQ44" s="22">
        <f>+BD44+BE44+BF44</f>
        <v>0</v>
      </c>
      <c r="ER44" s="12">
        <f t="shared" si="174"/>
        <v>0</v>
      </c>
      <c r="ES44" s="90">
        <f>SUM(BJ44:BL44)</f>
        <v>0</v>
      </c>
      <c r="ET44" s="94">
        <f>SUM(BM44:BO44)</f>
        <v>0</v>
      </c>
      <c r="EU44" s="94">
        <f t="shared" si="99"/>
        <v>3</v>
      </c>
      <c r="EV44" s="28">
        <f>SUM(BS44:BU44)</f>
        <v>0</v>
      </c>
      <c r="EW44" s="90">
        <f t="shared" si="115"/>
        <v>0</v>
      </c>
      <c r="EX44" s="94">
        <f t="shared" si="100"/>
        <v>0</v>
      </c>
      <c r="EY44" s="94">
        <f t="shared" si="101"/>
        <v>0</v>
      </c>
      <c r="EZ44" s="28">
        <f t="shared" si="102"/>
        <v>0</v>
      </c>
      <c r="FA44" s="90">
        <f t="shared" si="103"/>
        <v>0</v>
      </c>
      <c r="FB44" s="94">
        <f t="shared" si="104"/>
        <v>0</v>
      </c>
      <c r="FC44" s="94">
        <f t="shared" si="105"/>
        <v>0</v>
      </c>
      <c r="FD44" s="28">
        <f t="shared" si="106"/>
        <v>0</v>
      </c>
      <c r="FE44" s="90">
        <f t="shared" si="116"/>
        <v>0</v>
      </c>
      <c r="FF44" s="94">
        <f t="shared" si="117"/>
        <v>0</v>
      </c>
      <c r="FG44" s="94">
        <f t="shared" si="118"/>
        <v>0</v>
      </c>
      <c r="FH44" s="28">
        <f t="shared" si="119"/>
        <v>0</v>
      </c>
      <c r="FI44" s="90">
        <f t="shared" si="77"/>
        <v>0</v>
      </c>
      <c r="FJ44" s="94">
        <f t="shared" si="78"/>
        <v>0</v>
      </c>
      <c r="FK44" s="94">
        <f t="shared" si="79"/>
        <v>0</v>
      </c>
      <c r="FL44" s="28">
        <f t="shared" si="80"/>
        <v>0</v>
      </c>
      <c r="FM44" s="90">
        <f t="shared" si="107"/>
        <v>0</v>
      </c>
      <c r="FN44" s="94">
        <f t="shared" si="108"/>
        <v>0</v>
      </c>
      <c r="FO44" s="94">
        <f t="shared" si="109"/>
        <v>0</v>
      </c>
      <c r="FP44" s="28">
        <f t="shared" si="110"/>
        <v>0</v>
      </c>
      <c r="FR44" s="19">
        <f t="shared" si="81"/>
        <v>0</v>
      </c>
      <c r="FS44" s="22">
        <f t="shared" si="82"/>
        <v>0</v>
      </c>
      <c r="FT44" s="22">
        <f t="shared" si="83"/>
        <v>0</v>
      </c>
      <c r="FU44" s="22">
        <f t="shared" si="84"/>
        <v>0</v>
      </c>
      <c r="FV44" s="22">
        <f t="shared" si="85"/>
        <v>3</v>
      </c>
      <c r="FW44" s="22">
        <f t="shared" si="111"/>
        <v>0</v>
      </c>
      <c r="FX44" s="22">
        <f t="shared" si="112"/>
        <v>0</v>
      </c>
      <c r="FY44" s="22">
        <f t="shared" si="113"/>
        <v>0</v>
      </c>
      <c r="FZ44" s="94">
        <f t="shared" si="86"/>
        <v>0</v>
      </c>
      <c r="GA44" s="28">
        <f t="shared" si="114"/>
        <v>0</v>
      </c>
    </row>
    <row r="45" spans="1:183">
      <c r="A45" s="125" t="s">
        <v>1397</v>
      </c>
      <c r="B45" s="261"/>
      <c r="N45" s="22">
        <v>0</v>
      </c>
      <c r="O45" s="22">
        <v>0</v>
      </c>
      <c r="P45" s="22">
        <v>0</v>
      </c>
      <c r="Q45" s="22">
        <v>0</v>
      </c>
      <c r="R45" s="22">
        <v>0</v>
      </c>
      <c r="S45" s="22">
        <v>0</v>
      </c>
      <c r="T45" s="22">
        <v>0</v>
      </c>
      <c r="U45" s="22">
        <v>0</v>
      </c>
      <c r="V45" s="22">
        <v>0</v>
      </c>
      <c r="W45" s="22">
        <v>0</v>
      </c>
      <c r="X45" s="22">
        <v>0</v>
      </c>
      <c r="Y45" s="12">
        <v>0</v>
      </c>
      <c r="Z45" s="19">
        <v>0</v>
      </c>
      <c r="AA45" s="22">
        <v>0</v>
      </c>
      <c r="AB45" s="22">
        <v>0</v>
      </c>
      <c r="AC45" s="22">
        <v>0</v>
      </c>
      <c r="AD45" s="22">
        <v>0</v>
      </c>
      <c r="AE45" s="22">
        <v>0</v>
      </c>
      <c r="AF45" s="22">
        <v>0</v>
      </c>
      <c r="AG45" s="22">
        <v>0</v>
      </c>
      <c r="AH45" s="22">
        <v>0</v>
      </c>
      <c r="AI45" s="22">
        <v>0</v>
      </c>
      <c r="AJ45" s="22">
        <v>0</v>
      </c>
      <c r="AK45" s="12">
        <v>0</v>
      </c>
      <c r="AL45" s="19">
        <v>0</v>
      </c>
      <c r="AM45" s="22">
        <v>0</v>
      </c>
      <c r="AN45" s="22">
        <v>0</v>
      </c>
      <c r="AO45" s="22">
        <v>0</v>
      </c>
      <c r="AP45" s="22">
        <v>0</v>
      </c>
      <c r="AQ45" s="22">
        <v>0</v>
      </c>
      <c r="AR45" s="22">
        <v>0</v>
      </c>
      <c r="AS45" s="22">
        <v>0</v>
      </c>
      <c r="AT45" s="22">
        <v>0</v>
      </c>
      <c r="AU45" s="22">
        <v>0</v>
      </c>
      <c r="AV45" s="22">
        <v>0</v>
      </c>
      <c r="AW45" s="22">
        <v>0</v>
      </c>
      <c r="AX45" s="19">
        <v>0</v>
      </c>
      <c r="AY45" s="22">
        <v>1</v>
      </c>
      <c r="AZ45" s="22">
        <v>0</v>
      </c>
      <c r="BA45" s="22">
        <v>0</v>
      </c>
      <c r="BB45" s="22">
        <v>0</v>
      </c>
      <c r="BC45" s="22">
        <v>0</v>
      </c>
      <c r="BD45" s="22">
        <v>1</v>
      </c>
      <c r="BE45" s="22">
        <v>0</v>
      </c>
      <c r="BF45" s="22">
        <v>0</v>
      </c>
      <c r="BG45" s="22">
        <v>0</v>
      </c>
      <c r="BH45" s="22">
        <v>0</v>
      </c>
      <c r="BI45" s="12">
        <v>0</v>
      </c>
      <c r="BJ45" s="22">
        <v>0</v>
      </c>
      <c r="BK45" s="22">
        <v>0</v>
      </c>
      <c r="BL45" s="22">
        <v>0</v>
      </c>
      <c r="BM45" s="22">
        <v>3</v>
      </c>
      <c r="BN45" s="22">
        <v>4</v>
      </c>
      <c r="BO45" s="22">
        <v>0</v>
      </c>
      <c r="BP45" s="22">
        <v>3</v>
      </c>
      <c r="BQ45" s="22">
        <v>0</v>
      </c>
      <c r="BR45" s="22">
        <v>1</v>
      </c>
      <c r="BS45" s="22">
        <v>0</v>
      </c>
      <c r="BT45" s="22">
        <v>0</v>
      </c>
      <c r="BU45" s="12">
        <v>0</v>
      </c>
      <c r="BV45" s="22">
        <v>3</v>
      </c>
      <c r="BW45" s="22">
        <v>0</v>
      </c>
      <c r="BX45" s="22">
        <v>0</v>
      </c>
      <c r="BY45" s="22">
        <v>1</v>
      </c>
      <c r="BZ45" s="22">
        <v>0</v>
      </c>
      <c r="CA45" s="22">
        <v>0</v>
      </c>
      <c r="CB45" s="22">
        <v>0</v>
      </c>
      <c r="CC45" s="22">
        <v>0</v>
      </c>
      <c r="CD45" s="22">
        <v>0</v>
      </c>
      <c r="CE45" s="22">
        <v>0</v>
      </c>
      <c r="CF45" s="22">
        <v>0</v>
      </c>
      <c r="CG45" s="22">
        <v>0</v>
      </c>
      <c r="CH45" s="19">
        <v>0</v>
      </c>
      <c r="CI45" s="22">
        <v>0</v>
      </c>
      <c r="CJ45" s="22">
        <v>0</v>
      </c>
      <c r="CK45" s="22">
        <v>0</v>
      </c>
      <c r="CL45" s="22">
        <v>0</v>
      </c>
      <c r="CM45" s="22">
        <v>0</v>
      </c>
      <c r="CN45" s="22">
        <v>0</v>
      </c>
      <c r="CO45" s="22">
        <v>0</v>
      </c>
      <c r="CP45" s="22">
        <v>0</v>
      </c>
      <c r="CQ45" s="22">
        <v>0</v>
      </c>
      <c r="CR45" s="22">
        <v>0</v>
      </c>
      <c r="CS45" s="12">
        <v>0</v>
      </c>
      <c r="CT45" s="19">
        <v>0</v>
      </c>
      <c r="CU45" s="22">
        <v>0</v>
      </c>
      <c r="CV45" s="22">
        <v>0</v>
      </c>
      <c r="CW45" s="22">
        <v>0</v>
      </c>
      <c r="CX45" s="22">
        <v>0</v>
      </c>
      <c r="CY45" s="22">
        <v>0</v>
      </c>
      <c r="CZ45" s="22">
        <v>0</v>
      </c>
      <c r="DA45" s="22">
        <v>0</v>
      </c>
      <c r="DB45" s="22">
        <v>0</v>
      </c>
      <c r="DC45" s="22">
        <v>0</v>
      </c>
      <c r="DD45" s="22">
        <v>0</v>
      </c>
      <c r="DE45" s="12">
        <v>0</v>
      </c>
      <c r="DF45" s="19">
        <v>0</v>
      </c>
      <c r="DG45" s="22">
        <v>0</v>
      </c>
      <c r="DH45" s="22">
        <v>0</v>
      </c>
      <c r="DI45" s="22">
        <v>0</v>
      </c>
      <c r="DJ45" s="22">
        <v>0</v>
      </c>
      <c r="DK45" s="22">
        <v>0</v>
      </c>
      <c r="DL45" s="22">
        <v>0</v>
      </c>
      <c r="DM45" s="22">
        <v>0</v>
      </c>
      <c r="DN45" s="22">
        <v>0</v>
      </c>
      <c r="DO45" s="22">
        <v>0</v>
      </c>
      <c r="DP45" s="22">
        <v>0</v>
      </c>
      <c r="DQ45" s="12">
        <v>0</v>
      </c>
      <c r="DR45" s="19">
        <v>0</v>
      </c>
      <c r="DS45" s="22">
        <v>0</v>
      </c>
      <c r="DT45" s="22">
        <v>0</v>
      </c>
      <c r="DU45" s="22">
        <v>0</v>
      </c>
      <c r="DV45" s="22">
        <v>0</v>
      </c>
      <c r="DW45" s="22">
        <v>0</v>
      </c>
      <c r="DX45" s="22">
        <v>0</v>
      </c>
      <c r="DY45" s="22">
        <v>0</v>
      </c>
      <c r="DZ45" s="22">
        <v>0</v>
      </c>
      <c r="EA45" s="22">
        <v>0</v>
      </c>
      <c r="EB45" s="22">
        <v>0</v>
      </c>
      <c r="EC45" s="12">
        <v>0</v>
      </c>
      <c r="ED45" s="12">
        <f t="shared" si="141"/>
        <v>17</v>
      </c>
      <c r="EF45" s="6">
        <f>+W45+X45+Y45</f>
        <v>0</v>
      </c>
      <c r="EG45" s="19">
        <f>+Z45+AA45+AB45</f>
        <v>0</v>
      </c>
      <c r="EH45" s="22">
        <f>+AC45+AD45+AE45</f>
        <v>0</v>
      </c>
      <c r="EI45" s="22">
        <f>+AF45+AG45+AH45</f>
        <v>0</v>
      </c>
      <c r="EJ45" s="12">
        <f>+AI45+AJ45+AK45</f>
        <v>0</v>
      </c>
      <c r="EK45" s="22">
        <f>+AL45+AM45+AN45</f>
        <v>0</v>
      </c>
      <c r="EL45" s="22">
        <f>+AO45+AP45+AQ45</f>
        <v>0</v>
      </c>
      <c r="EM45" s="22">
        <f>+AR45+AS45+AT45</f>
        <v>0</v>
      </c>
      <c r="EN45" s="12">
        <f>+AU45+AV45+AW45</f>
        <v>0</v>
      </c>
      <c r="EO45" s="22">
        <f>+AX45+AY45+AZ45</f>
        <v>1</v>
      </c>
      <c r="EP45" s="22">
        <f>+BA45+BB45+BC45</f>
        <v>0</v>
      </c>
      <c r="EQ45" s="22">
        <f>+BD45+BE45+BF45</f>
        <v>1</v>
      </c>
      <c r="ER45" s="12">
        <f t="shared" si="174"/>
        <v>0</v>
      </c>
      <c r="ES45" s="90">
        <f t="shared" si="70"/>
        <v>0</v>
      </c>
      <c r="ET45" s="94">
        <f t="shared" si="71"/>
        <v>7</v>
      </c>
      <c r="EU45" s="94">
        <f t="shared" si="99"/>
        <v>4</v>
      </c>
      <c r="EV45" s="28">
        <f t="shared" si="72"/>
        <v>0</v>
      </c>
      <c r="EW45" s="90">
        <f t="shared" si="115"/>
        <v>3</v>
      </c>
      <c r="EX45" s="94">
        <f t="shared" si="100"/>
        <v>1</v>
      </c>
      <c r="EY45" s="94">
        <f t="shared" si="101"/>
        <v>0</v>
      </c>
      <c r="EZ45" s="28">
        <f t="shared" si="102"/>
        <v>0</v>
      </c>
      <c r="FA45" s="90">
        <f t="shared" si="103"/>
        <v>0</v>
      </c>
      <c r="FB45" s="94">
        <f t="shared" si="104"/>
        <v>0</v>
      </c>
      <c r="FC45" s="94">
        <f t="shared" si="105"/>
        <v>0</v>
      </c>
      <c r="FD45" s="28">
        <f t="shared" si="106"/>
        <v>0</v>
      </c>
      <c r="FE45" s="90">
        <f t="shared" si="116"/>
        <v>0</v>
      </c>
      <c r="FF45" s="94">
        <f t="shared" si="117"/>
        <v>0</v>
      </c>
      <c r="FG45" s="94">
        <f t="shared" si="118"/>
        <v>0</v>
      </c>
      <c r="FH45" s="28">
        <f t="shared" si="119"/>
        <v>0</v>
      </c>
      <c r="FI45" s="90">
        <f t="shared" si="77"/>
        <v>0</v>
      </c>
      <c r="FJ45" s="94">
        <f t="shared" si="78"/>
        <v>0</v>
      </c>
      <c r="FK45" s="94">
        <f t="shared" si="79"/>
        <v>0</v>
      </c>
      <c r="FL45" s="28">
        <f t="shared" si="80"/>
        <v>0</v>
      </c>
      <c r="FM45" s="90">
        <f t="shared" si="107"/>
        <v>0</v>
      </c>
      <c r="FN45" s="94">
        <f t="shared" si="108"/>
        <v>0</v>
      </c>
      <c r="FO45" s="94">
        <f t="shared" si="109"/>
        <v>0</v>
      </c>
      <c r="FP45" s="28">
        <f t="shared" si="110"/>
        <v>0</v>
      </c>
      <c r="FR45" s="19">
        <f t="shared" si="81"/>
        <v>0</v>
      </c>
      <c r="FS45" s="22">
        <f t="shared" si="82"/>
        <v>0</v>
      </c>
      <c r="FT45" s="22">
        <f t="shared" si="83"/>
        <v>0</v>
      </c>
      <c r="FU45" s="22">
        <f t="shared" si="84"/>
        <v>2</v>
      </c>
      <c r="FV45" s="22">
        <f t="shared" si="85"/>
        <v>11</v>
      </c>
      <c r="FW45" s="22">
        <f t="shared" si="111"/>
        <v>4</v>
      </c>
      <c r="FX45" s="22">
        <f t="shared" si="112"/>
        <v>0</v>
      </c>
      <c r="FY45" s="22">
        <f t="shared" si="113"/>
        <v>0</v>
      </c>
      <c r="FZ45" s="94">
        <f t="shared" si="86"/>
        <v>0</v>
      </c>
      <c r="GA45" s="28">
        <f t="shared" si="114"/>
        <v>0</v>
      </c>
    </row>
    <row r="46" spans="1:183">
      <c r="A46" s="219" t="s">
        <v>1398</v>
      </c>
      <c r="B46" s="261"/>
      <c r="N46" s="22">
        <v>0</v>
      </c>
      <c r="O46" s="22">
        <v>0</v>
      </c>
      <c r="P46" s="22">
        <v>0</v>
      </c>
      <c r="Q46" s="22">
        <v>0</v>
      </c>
      <c r="R46" s="22">
        <v>0</v>
      </c>
      <c r="S46" s="22">
        <v>0</v>
      </c>
      <c r="T46" s="22">
        <v>0</v>
      </c>
      <c r="U46" s="22">
        <v>0</v>
      </c>
      <c r="V46" s="22">
        <v>0</v>
      </c>
      <c r="W46" s="22">
        <v>0</v>
      </c>
      <c r="X46" s="22">
        <v>0</v>
      </c>
      <c r="Y46" s="12">
        <v>0</v>
      </c>
      <c r="Z46" s="19">
        <v>0</v>
      </c>
      <c r="AA46" s="22">
        <v>0</v>
      </c>
      <c r="AB46" s="22">
        <v>0</v>
      </c>
      <c r="AC46" s="22">
        <v>0</v>
      </c>
      <c r="AD46" s="22">
        <v>0</v>
      </c>
      <c r="AE46" s="22">
        <v>0</v>
      </c>
      <c r="AF46" s="22">
        <v>0</v>
      </c>
      <c r="AG46" s="22">
        <v>0</v>
      </c>
      <c r="AH46" s="22">
        <v>0</v>
      </c>
      <c r="AI46" s="22">
        <v>0</v>
      </c>
      <c r="AJ46" s="22">
        <v>0</v>
      </c>
      <c r="AK46" s="12">
        <v>0</v>
      </c>
      <c r="AL46" s="19">
        <v>0</v>
      </c>
      <c r="AM46" s="22">
        <v>0</v>
      </c>
      <c r="AN46" s="22">
        <v>0</v>
      </c>
      <c r="AO46" s="22">
        <v>0</v>
      </c>
      <c r="AP46" s="22">
        <v>0</v>
      </c>
      <c r="AQ46" s="22">
        <v>0</v>
      </c>
      <c r="AR46" s="22">
        <v>0</v>
      </c>
      <c r="AS46" s="22">
        <v>0</v>
      </c>
      <c r="AT46" s="22">
        <v>0</v>
      </c>
      <c r="AU46" s="22">
        <v>0</v>
      </c>
      <c r="AV46" s="22">
        <v>0</v>
      </c>
      <c r="AW46" s="22">
        <v>0</v>
      </c>
      <c r="AX46" s="19">
        <v>0</v>
      </c>
      <c r="AY46" s="22">
        <v>0</v>
      </c>
      <c r="AZ46" s="22">
        <v>0</v>
      </c>
      <c r="BA46" s="22">
        <v>0</v>
      </c>
      <c r="BB46" s="22">
        <v>0</v>
      </c>
      <c r="BC46" s="22">
        <v>0</v>
      </c>
      <c r="BD46" s="22">
        <v>0</v>
      </c>
      <c r="BE46" s="22">
        <v>0</v>
      </c>
      <c r="BF46" s="22">
        <v>0</v>
      </c>
      <c r="BG46" s="22">
        <v>0</v>
      </c>
      <c r="BH46" s="22">
        <v>0</v>
      </c>
      <c r="BI46" s="12">
        <v>0</v>
      </c>
      <c r="BJ46" s="22">
        <v>0</v>
      </c>
      <c r="BK46" s="22">
        <v>0</v>
      </c>
      <c r="BL46" s="22">
        <v>0</v>
      </c>
      <c r="BM46" s="22">
        <v>0</v>
      </c>
      <c r="BN46" s="22">
        <v>0</v>
      </c>
      <c r="BO46" s="22">
        <v>0</v>
      </c>
      <c r="BP46" s="22">
        <v>0</v>
      </c>
      <c r="BQ46" s="22">
        <v>0</v>
      </c>
      <c r="BR46" s="22">
        <v>0</v>
      </c>
      <c r="BS46" s="22">
        <v>0</v>
      </c>
      <c r="BT46" s="22">
        <v>0</v>
      </c>
      <c r="BU46" s="12">
        <v>0</v>
      </c>
      <c r="BV46" s="22">
        <v>0</v>
      </c>
      <c r="BW46" s="22">
        <v>0</v>
      </c>
      <c r="BX46" s="22">
        <v>0</v>
      </c>
      <c r="BY46" s="22">
        <v>0</v>
      </c>
      <c r="BZ46" s="22">
        <v>0</v>
      </c>
      <c r="CA46" s="22">
        <v>0</v>
      </c>
      <c r="CB46" s="22">
        <v>0</v>
      </c>
      <c r="CC46" s="22">
        <v>0</v>
      </c>
      <c r="CD46" s="22">
        <v>0</v>
      </c>
      <c r="CE46" s="22">
        <v>0</v>
      </c>
      <c r="CF46" s="22">
        <v>0</v>
      </c>
      <c r="CG46" s="22">
        <v>0</v>
      </c>
      <c r="CH46" s="19">
        <v>0</v>
      </c>
      <c r="CI46" s="22">
        <v>0</v>
      </c>
      <c r="CJ46" s="22">
        <v>0</v>
      </c>
      <c r="CK46" s="22">
        <v>0</v>
      </c>
      <c r="CL46" s="22">
        <v>0</v>
      </c>
      <c r="CM46" s="22">
        <v>0</v>
      </c>
      <c r="CN46" s="22">
        <v>0</v>
      </c>
      <c r="CO46" s="22">
        <v>0</v>
      </c>
      <c r="CP46" s="22">
        <v>0</v>
      </c>
      <c r="CQ46" s="22">
        <v>0</v>
      </c>
      <c r="CR46" s="22">
        <v>0</v>
      </c>
      <c r="CS46" s="12">
        <v>0</v>
      </c>
      <c r="CT46" s="19">
        <v>2</v>
      </c>
      <c r="CU46" s="22">
        <v>0</v>
      </c>
      <c r="CV46" s="22">
        <v>0</v>
      </c>
      <c r="CW46" s="22">
        <v>0</v>
      </c>
      <c r="CX46" s="22">
        <v>0</v>
      </c>
      <c r="CY46" s="22">
        <v>0</v>
      </c>
      <c r="CZ46" s="22">
        <v>0</v>
      </c>
      <c r="DA46" s="22">
        <v>0</v>
      </c>
      <c r="DB46" s="22">
        <v>0</v>
      </c>
      <c r="DC46" s="22">
        <v>0</v>
      </c>
      <c r="DD46" s="22">
        <v>0</v>
      </c>
      <c r="DE46" s="12">
        <v>0</v>
      </c>
      <c r="DF46" s="19">
        <v>0</v>
      </c>
      <c r="DG46" s="22">
        <v>0</v>
      </c>
      <c r="DH46" s="22">
        <v>0</v>
      </c>
      <c r="DI46" s="22">
        <v>0</v>
      </c>
      <c r="DJ46" s="22">
        <v>0</v>
      </c>
      <c r="DK46" s="22">
        <v>0</v>
      </c>
      <c r="DL46" s="22">
        <v>0</v>
      </c>
      <c r="DM46" s="22">
        <v>0</v>
      </c>
      <c r="DN46" s="22">
        <v>0</v>
      </c>
      <c r="DO46" s="22">
        <v>0</v>
      </c>
      <c r="DP46" s="22">
        <v>0</v>
      </c>
      <c r="DQ46" s="12">
        <v>0</v>
      </c>
      <c r="DR46" s="19">
        <v>0</v>
      </c>
      <c r="DS46" s="22">
        <v>0</v>
      </c>
      <c r="DT46" s="22">
        <v>0</v>
      </c>
      <c r="DU46" s="22">
        <v>0</v>
      </c>
      <c r="DV46" s="22">
        <v>0</v>
      </c>
      <c r="DW46" s="22">
        <v>0</v>
      </c>
      <c r="DX46" s="22">
        <v>0</v>
      </c>
      <c r="DY46" s="22">
        <v>0</v>
      </c>
      <c r="DZ46" s="22">
        <v>0</v>
      </c>
      <c r="EA46" s="22">
        <v>0</v>
      </c>
      <c r="EB46" s="22">
        <v>0</v>
      </c>
      <c r="EC46" s="12">
        <v>0</v>
      </c>
      <c r="ED46" s="12">
        <f t="shared" si="141"/>
        <v>2</v>
      </c>
      <c r="EF46" s="6">
        <f>+W46+X46+Y46</f>
        <v>0</v>
      </c>
      <c r="EG46" s="19">
        <f>+Z46+AA46+AB46</f>
        <v>0</v>
      </c>
      <c r="EH46" s="22">
        <f>+AC46+AD46+AE46</f>
        <v>0</v>
      </c>
      <c r="EI46" s="22">
        <f>+AF46+AG46+AH46</f>
        <v>0</v>
      </c>
      <c r="EJ46" s="12">
        <f>+AI46+AJ46+AK46</f>
        <v>0</v>
      </c>
      <c r="EK46" s="22">
        <f>+AL46+AM46+AN46</f>
        <v>0</v>
      </c>
      <c r="EL46" s="22">
        <f>+AO46+AP46+AQ46</f>
        <v>0</v>
      </c>
      <c r="EM46" s="22">
        <f>+AR46+AS46+AT46</f>
        <v>0</v>
      </c>
      <c r="EN46" s="12">
        <f>+AU46+AV46+AW46</f>
        <v>0</v>
      </c>
      <c r="EO46" s="22">
        <f>+AX46+AY46+AZ46</f>
        <v>0</v>
      </c>
      <c r="EP46" s="22">
        <f>+BA46+BB46+BC46</f>
        <v>0</v>
      </c>
      <c r="EQ46" s="22">
        <f>+BD46+BE46+BF46</f>
        <v>0</v>
      </c>
      <c r="ER46" s="12">
        <f t="shared" ref="ER46" si="175">+BG46+BH46+BU46</f>
        <v>0</v>
      </c>
      <c r="ES46" s="90">
        <f t="shared" ref="ES46" si="176">SUM(BJ46:BL46)</f>
        <v>0</v>
      </c>
      <c r="ET46" s="94">
        <f t="shared" ref="ET46" si="177">SUM(BM46:BO46)</f>
        <v>0</v>
      </c>
      <c r="EU46" s="94">
        <f t="shared" ref="EU46" si="178">SUM(BP46:BR46)</f>
        <v>0</v>
      </c>
      <c r="EV46" s="28">
        <f t="shared" ref="EV46" si="179">SUM(BS46:BU46)</f>
        <v>0</v>
      </c>
      <c r="EW46" s="90">
        <f t="shared" ref="EW46" si="180">SUM(BV46:BX46)</f>
        <v>0</v>
      </c>
      <c r="EX46" s="94">
        <f t="shared" ref="EX46" si="181">SUM(BY46:CA46)</f>
        <v>0</v>
      </c>
      <c r="EY46" s="94">
        <f t="shared" ref="EY46" si="182">SUM(CB46:CD46)</f>
        <v>0</v>
      </c>
      <c r="EZ46" s="28">
        <f t="shared" ref="EZ46" si="183">SUM(CE46:CG46)</f>
        <v>0</v>
      </c>
      <c r="FA46" s="90">
        <f t="shared" ref="FA46" si="184">SUM(CH46:CJ46)</f>
        <v>0</v>
      </c>
      <c r="FB46" s="94">
        <f t="shared" ref="FB46" si="185">SUM(CK46:CM46)</f>
        <v>0</v>
      </c>
      <c r="FC46" s="94">
        <f t="shared" ref="FC46" si="186">SUM(CN46:CP46)</f>
        <v>0</v>
      </c>
      <c r="FD46" s="28">
        <f t="shared" ref="FD46" si="187">SUM(CQ46:CS46)</f>
        <v>0</v>
      </c>
      <c r="FE46" s="90">
        <f t="shared" si="116"/>
        <v>2</v>
      </c>
      <c r="FF46" s="94">
        <f t="shared" si="117"/>
        <v>0</v>
      </c>
      <c r="FG46" s="94">
        <f t="shared" si="118"/>
        <v>0</v>
      </c>
      <c r="FH46" s="28">
        <f t="shared" si="119"/>
        <v>0</v>
      </c>
      <c r="FI46" s="90">
        <f t="shared" si="77"/>
        <v>0</v>
      </c>
      <c r="FJ46" s="94">
        <f t="shared" si="78"/>
        <v>0</v>
      </c>
      <c r="FK46" s="94">
        <f t="shared" si="79"/>
        <v>0</v>
      </c>
      <c r="FL46" s="28">
        <f t="shared" si="80"/>
        <v>0</v>
      </c>
      <c r="FM46" s="90">
        <f t="shared" si="107"/>
        <v>0</v>
      </c>
      <c r="FN46" s="94">
        <f t="shared" si="108"/>
        <v>0</v>
      </c>
      <c r="FO46" s="94">
        <f t="shared" si="109"/>
        <v>0</v>
      </c>
      <c r="FP46" s="28">
        <f t="shared" si="110"/>
        <v>0</v>
      </c>
      <c r="FR46" s="19">
        <f t="shared" ref="FR46" si="188">SUM(EF46:EF46)</f>
        <v>0</v>
      </c>
      <c r="FS46" s="22">
        <f t="shared" ref="FS46" si="189">SUM(EG46:EJ46)</f>
        <v>0</v>
      </c>
      <c r="FT46" s="22">
        <f t="shared" ref="FT46" si="190">SUM(EK46:EN46)</f>
        <v>0</v>
      </c>
      <c r="FU46" s="22">
        <f t="shared" ref="FU46" si="191">SUM(EO46:ER46)</f>
        <v>0</v>
      </c>
      <c r="FV46" s="22">
        <f t="shared" ref="FV46" si="192">SUM(ES46:EV46)</f>
        <v>0</v>
      </c>
      <c r="FW46" s="22">
        <f t="shared" ref="FW46" si="193">SUM(EW46:EZ46)</f>
        <v>0</v>
      </c>
      <c r="FX46" s="22">
        <f t="shared" ref="FX46" si="194">SUM(FA46:FD46)</f>
        <v>0</v>
      </c>
      <c r="FY46" s="22">
        <f t="shared" si="113"/>
        <v>2</v>
      </c>
      <c r="FZ46" s="94">
        <f t="shared" si="86"/>
        <v>0</v>
      </c>
      <c r="GA46" s="28">
        <f t="shared" si="114"/>
        <v>0</v>
      </c>
    </row>
    <row r="47" spans="1:183">
      <c r="A47" s="219" t="s">
        <v>749</v>
      </c>
      <c r="B47" s="261"/>
      <c r="N47" s="22">
        <v>0</v>
      </c>
      <c r="O47" s="22">
        <v>0</v>
      </c>
      <c r="P47" s="22">
        <v>0</v>
      </c>
      <c r="Q47" s="22">
        <v>0</v>
      </c>
      <c r="R47" s="22">
        <v>0</v>
      </c>
      <c r="S47" s="22">
        <v>0</v>
      </c>
      <c r="T47" s="22">
        <v>0</v>
      </c>
      <c r="U47" s="22">
        <v>0</v>
      </c>
      <c r="V47" s="22">
        <v>0</v>
      </c>
      <c r="W47" s="22">
        <v>0</v>
      </c>
      <c r="X47" s="22">
        <v>0</v>
      </c>
      <c r="Y47" s="12">
        <v>0</v>
      </c>
      <c r="Z47" s="19">
        <v>0</v>
      </c>
      <c r="AA47" s="22">
        <v>0</v>
      </c>
      <c r="AB47" s="22">
        <v>0</v>
      </c>
      <c r="AC47" s="22">
        <v>0</v>
      </c>
      <c r="AD47" s="22">
        <v>0</v>
      </c>
      <c r="AE47" s="22">
        <v>0</v>
      </c>
      <c r="AF47" s="22">
        <v>0</v>
      </c>
      <c r="AG47" s="22">
        <v>0</v>
      </c>
      <c r="AH47" s="22">
        <v>0</v>
      </c>
      <c r="AI47" s="22">
        <v>0</v>
      </c>
      <c r="AJ47" s="22">
        <v>0</v>
      </c>
      <c r="AK47" s="12">
        <v>0</v>
      </c>
      <c r="AL47" s="19">
        <v>0</v>
      </c>
      <c r="AM47" s="22">
        <v>0</v>
      </c>
      <c r="AN47" s="22">
        <v>0</v>
      </c>
      <c r="AO47" s="22">
        <v>0</v>
      </c>
      <c r="AP47" s="22">
        <v>0</v>
      </c>
      <c r="AQ47" s="22">
        <v>0</v>
      </c>
      <c r="AR47" s="22">
        <v>0</v>
      </c>
      <c r="AS47" s="22">
        <v>0</v>
      </c>
      <c r="AT47" s="22">
        <v>0</v>
      </c>
      <c r="AU47" s="22">
        <v>0</v>
      </c>
      <c r="AV47" s="22">
        <v>0</v>
      </c>
      <c r="AW47" s="22">
        <v>0</v>
      </c>
      <c r="AX47" s="19">
        <v>0</v>
      </c>
      <c r="AY47" s="22">
        <v>0</v>
      </c>
      <c r="AZ47" s="22">
        <v>0</v>
      </c>
      <c r="BA47" s="22">
        <v>0</v>
      </c>
      <c r="BB47" s="22">
        <v>0</v>
      </c>
      <c r="BC47" s="22">
        <v>0</v>
      </c>
      <c r="BD47" s="22">
        <v>0</v>
      </c>
      <c r="BE47" s="22">
        <v>0</v>
      </c>
      <c r="BF47" s="22">
        <v>0</v>
      </c>
      <c r="BG47" s="22">
        <v>0</v>
      </c>
      <c r="BH47" s="22">
        <v>0</v>
      </c>
      <c r="BI47" s="12">
        <v>0</v>
      </c>
      <c r="BJ47" s="22">
        <v>0</v>
      </c>
      <c r="BK47" s="22">
        <v>0</v>
      </c>
      <c r="BL47" s="22">
        <v>0</v>
      </c>
      <c r="BM47" s="22">
        <v>0</v>
      </c>
      <c r="BN47" s="22">
        <v>0</v>
      </c>
      <c r="BO47" s="22">
        <v>3</v>
      </c>
      <c r="BP47" s="22">
        <v>0</v>
      </c>
      <c r="BQ47" s="22">
        <v>0</v>
      </c>
      <c r="BR47" s="22">
        <v>0</v>
      </c>
      <c r="BS47" s="22">
        <v>0</v>
      </c>
      <c r="BT47" s="22">
        <v>0</v>
      </c>
      <c r="BU47" s="12">
        <v>0</v>
      </c>
      <c r="BV47" s="22">
        <v>0</v>
      </c>
      <c r="BW47" s="22">
        <v>0</v>
      </c>
      <c r="BX47" s="22">
        <v>0</v>
      </c>
      <c r="BY47" s="22">
        <v>0</v>
      </c>
      <c r="BZ47" s="22">
        <v>0</v>
      </c>
      <c r="CA47" s="22">
        <v>0</v>
      </c>
      <c r="CB47" s="22">
        <v>0</v>
      </c>
      <c r="CC47" s="22">
        <v>0</v>
      </c>
      <c r="CD47" s="22">
        <v>0</v>
      </c>
      <c r="CE47" s="22">
        <v>0</v>
      </c>
      <c r="CF47" s="22">
        <v>0</v>
      </c>
      <c r="CG47" s="22">
        <v>0</v>
      </c>
      <c r="CH47" s="19">
        <v>0</v>
      </c>
      <c r="CI47" s="22">
        <v>0</v>
      </c>
      <c r="CJ47" s="22">
        <v>0</v>
      </c>
      <c r="CK47" s="22">
        <v>0</v>
      </c>
      <c r="CL47" s="22">
        <v>0</v>
      </c>
      <c r="CM47" s="22">
        <v>0</v>
      </c>
      <c r="CN47" s="22">
        <v>0</v>
      </c>
      <c r="CO47" s="22">
        <v>0</v>
      </c>
      <c r="CP47" s="22">
        <v>0</v>
      </c>
      <c r="CQ47" s="22">
        <v>0</v>
      </c>
      <c r="CR47" s="22">
        <v>0</v>
      </c>
      <c r="CS47" s="12">
        <v>0</v>
      </c>
      <c r="CT47" s="19">
        <v>0</v>
      </c>
      <c r="CU47" s="22">
        <v>0</v>
      </c>
      <c r="CV47" s="22">
        <v>0</v>
      </c>
      <c r="CW47" s="22">
        <v>0</v>
      </c>
      <c r="CX47" s="22">
        <v>0</v>
      </c>
      <c r="CY47" s="22">
        <v>0</v>
      </c>
      <c r="CZ47" s="22">
        <v>0</v>
      </c>
      <c r="DA47" s="22">
        <v>0</v>
      </c>
      <c r="DB47" s="22">
        <v>0</v>
      </c>
      <c r="DC47" s="22">
        <v>0</v>
      </c>
      <c r="DD47" s="22">
        <v>0</v>
      </c>
      <c r="DE47" s="12">
        <v>0</v>
      </c>
      <c r="DF47" s="19">
        <v>0</v>
      </c>
      <c r="DG47" s="22">
        <v>0</v>
      </c>
      <c r="DH47" s="22">
        <v>0</v>
      </c>
      <c r="DI47" s="22">
        <v>0</v>
      </c>
      <c r="DJ47" s="22">
        <v>0</v>
      </c>
      <c r="DK47" s="22">
        <v>0</v>
      </c>
      <c r="DL47" s="22">
        <v>0</v>
      </c>
      <c r="DM47" s="22">
        <v>0</v>
      </c>
      <c r="DN47" s="22">
        <v>0</v>
      </c>
      <c r="DO47" s="22">
        <v>0</v>
      </c>
      <c r="DP47" s="22">
        <v>0</v>
      </c>
      <c r="DQ47" s="12">
        <v>0</v>
      </c>
      <c r="DR47" s="19">
        <v>0</v>
      </c>
      <c r="DS47" s="22">
        <v>0</v>
      </c>
      <c r="DT47" s="22">
        <v>0</v>
      </c>
      <c r="DU47" s="22">
        <v>0</v>
      </c>
      <c r="DV47" s="22">
        <v>0</v>
      </c>
      <c r="DW47" s="22">
        <v>0</v>
      </c>
      <c r="DX47" s="22">
        <v>0</v>
      </c>
      <c r="DY47" s="22">
        <v>0</v>
      </c>
      <c r="DZ47" s="22">
        <v>0</v>
      </c>
      <c r="EA47" s="22">
        <v>0</v>
      </c>
      <c r="EB47" s="22">
        <v>0</v>
      </c>
      <c r="EC47" s="12">
        <v>0</v>
      </c>
      <c r="ED47" s="12">
        <f t="shared" si="141"/>
        <v>3</v>
      </c>
      <c r="EF47" s="6">
        <f>+W47+X47+Y47</f>
        <v>0</v>
      </c>
      <c r="EG47" s="19">
        <f>+Z47+AA47+AB47</f>
        <v>0</v>
      </c>
      <c r="EH47" s="22">
        <f>+AC47+AD47+AE47</f>
        <v>0</v>
      </c>
      <c r="EI47" s="22">
        <f>+AF47+AG47+AH47</f>
        <v>0</v>
      </c>
      <c r="EJ47" s="12">
        <f>+AI47+AJ47+AK47</f>
        <v>0</v>
      </c>
      <c r="EK47" s="22">
        <f>+AL47+AM47+AN47</f>
        <v>0</v>
      </c>
      <c r="EL47" s="22">
        <f>+AO47+AP47+AQ47</f>
        <v>0</v>
      </c>
      <c r="EM47" s="22">
        <f>+AR47+AS47+AT47</f>
        <v>0</v>
      </c>
      <c r="EN47" s="12">
        <f>+AU47+AV47+AW47</f>
        <v>0</v>
      </c>
      <c r="EO47" s="22">
        <f>+AX47+AY47+AZ47</f>
        <v>0</v>
      </c>
      <c r="EP47" s="22">
        <f>+BA47+BB47+BC47</f>
        <v>0</v>
      </c>
      <c r="EQ47" s="22">
        <f>+BD47+BE47+BF47</f>
        <v>0</v>
      </c>
      <c r="ER47" s="12">
        <f t="shared" si="174"/>
        <v>0</v>
      </c>
      <c r="ES47" s="90">
        <f>SUM(BJ47:BL47)</f>
        <v>0</v>
      </c>
      <c r="ET47" s="94">
        <f>SUM(BM47:BO47)</f>
        <v>3</v>
      </c>
      <c r="EU47" s="94">
        <f t="shared" si="99"/>
        <v>0</v>
      </c>
      <c r="EV47" s="28">
        <f>SUM(BS47:BU47)</f>
        <v>0</v>
      </c>
      <c r="EW47" s="90">
        <f t="shared" si="115"/>
        <v>0</v>
      </c>
      <c r="EX47" s="94">
        <f t="shared" si="100"/>
        <v>0</v>
      </c>
      <c r="EY47" s="94">
        <f t="shared" si="101"/>
        <v>0</v>
      </c>
      <c r="EZ47" s="28">
        <f t="shared" si="102"/>
        <v>0</v>
      </c>
      <c r="FA47" s="90">
        <f t="shared" si="103"/>
        <v>0</v>
      </c>
      <c r="FB47" s="94">
        <f t="shared" si="104"/>
        <v>0</v>
      </c>
      <c r="FC47" s="94">
        <f t="shared" si="105"/>
        <v>0</v>
      </c>
      <c r="FD47" s="28">
        <f t="shared" si="106"/>
        <v>0</v>
      </c>
      <c r="FE47" s="90">
        <f t="shared" si="116"/>
        <v>0</v>
      </c>
      <c r="FF47" s="94">
        <f t="shared" si="117"/>
        <v>0</v>
      </c>
      <c r="FG47" s="94">
        <f t="shared" si="118"/>
        <v>0</v>
      </c>
      <c r="FH47" s="28">
        <f t="shared" si="119"/>
        <v>0</v>
      </c>
      <c r="FI47" s="90">
        <f t="shared" si="77"/>
        <v>0</v>
      </c>
      <c r="FJ47" s="94">
        <f t="shared" si="78"/>
        <v>0</v>
      </c>
      <c r="FK47" s="94">
        <f t="shared" si="79"/>
        <v>0</v>
      </c>
      <c r="FL47" s="28">
        <f t="shared" si="80"/>
        <v>0</v>
      </c>
      <c r="FM47" s="90">
        <f t="shared" si="107"/>
        <v>0</v>
      </c>
      <c r="FN47" s="94">
        <f t="shared" si="108"/>
        <v>0</v>
      </c>
      <c r="FO47" s="94">
        <f t="shared" si="109"/>
        <v>0</v>
      </c>
      <c r="FP47" s="28">
        <f t="shared" si="110"/>
        <v>0</v>
      </c>
      <c r="FR47" s="19">
        <f t="shared" si="81"/>
        <v>0</v>
      </c>
      <c r="FS47" s="22">
        <f t="shared" si="82"/>
        <v>0</v>
      </c>
      <c r="FT47" s="22">
        <f t="shared" si="83"/>
        <v>0</v>
      </c>
      <c r="FU47" s="22">
        <f t="shared" si="84"/>
        <v>0</v>
      </c>
      <c r="FV47" s="22">
        <f t="shared" si="85"/>
        <v>3</v>
      </c>
      <c r="FW47" s="22">
        <f>SUM(EW47:EZ47)</f>
        <v>0</v>
      </c>
      <c r="FX47" s="22">
        <f t="shared" si="112"/>
        <v>0</v>
      </c>
      <c r="FY47" s="22">
        <f t="shared" si="113"/>
        <v>0</v>
      </c>
      <c r="FZ47" s="94">
        <f t="shared" si="86"/>
        <v>0</v>
      </c>
      <c r="GA47" s="28">
        <f t="shared" si="114"/>
        <v>0</v>
      </c>
    </row>
    <row r="48" spans="1:183">
      <c r="A48" s="125" t="s">
        <v>978</v>
      </c>
      <c r="B48" s="261"/>
      <c r="N48" s="22">
        <v>0</v>
      </c>
      <c r="O48" s="22">
        <v>0</v>
      </c>
      <c r="P48" s="22">
        <v>0</v>
      </c>
      <c r="Q48" s="22">
        <v>0</v>
      </c>
      <c r="R48" s="22">
        <v>0</v>
      </c>
      <c r="S48" s="22">
        <v>0</v>
      </c>
      <c r="T48" s="22">
        <v>0</v>
      </c>
      <c r="U48" s="22">
        <v>0</v>
      </c>
      <c r="V48" s="22">
        <v>0</v>
      </c>
      <c r="W48" s="22">
        <v>0</v>
      </c>
      <c r="X48" s="22">
        <v>0</v>
      </c>
      <c r="Y48" s="12">
        <v>0</v>
      </c>
      <c r="Z48" s="19">
        <v>0</v>
      </c>
      <c r="AA48" s="22">
        <v>0</v>
      </c>
      <c r="AB48" s="22">
        <v>0</v>
      </c>
      <c r="AC48" s="22">
        <v>0</v>
      </c>
      <c r="AD48" s="22">
        <v>0</v>
      </c>
      <c r="AE48" s="22">
        <v>0</v>
      </c>
      <c r="AF48" s="22">
        <v>0</v>
      </c>
      <c r="AG48" s="22">
        <v>0</v>
      </c>
      <c r="AH48" s="22">
        <v>0</v>
      </c>
      <c r="AI48" s="22">
        <v>0</v>
      </c>
      <c r="AJ48" s="22">
        <v>0</v>
      </c>
      <c r="AK48" s="12">
        <v>0</v>
      </c>
      <c r="AL48" s="19">
        <v>0</v>
      </c>
      <c r="AM48" s="22">
        <v>0</v>
      </c>
      <c r="AN48" s="22">
        <v>0</v>
      </c>
      <c r="AO48" s="22">
        <v>0</v>
      </c>
      <c r="AP48" s="22">
        <v>0</v>
      </c>
      <c r="AQ48" s="22">
        <v>0</v>
      </c>
      <c r="AR48" s="22">
        <v>0</v>
      </c>
      <c r="AS48" s="22">
        <v>0</v>
      </c>
      <c r="AT48" s="22">
        <v>0</v>
      </c>
      <c r="AU48" s="22">
        <v>0</v>
      </c>
      <c r="AV48" s="22">
        <v>0</v>
      </c>
      <c r="AW48" s="22">
        <v>0</v>
      </c>
      <c r="AX48" s="19">
        <v>0</v>
      </c>
      <c r="AY48" s="22">
        <v>0</v>
      </c>
      <c r="AZ48" s="22">
        <v>0</v>
      </c>
      <c r="BA48" s="22">
        <v>0</v>
      </c>
      <c r="BB48" s="22">
        <v>0</v>
      </c>
      <c r="BC48" s="22">
        <v>0</v>
      </c>
      <c r="BD48" s="22">
        <v>0</v>
      </c>
      <c r="BE48" s="22">
        <v>0</v>
      </c>
      <c r="BF48" s="22">
        <v>0</v>
      </c>
      <c r="BG48" s="22">
        <v>0</v>
      </c>
      <c r="BH48" s="22">
        <v>0</v>
      </c>
      <c r="BI48" s="12">
        <v>0</v>
      </c>
      <c r="BJ48" s="22">
        <v>0</v>
      </c>
      <c r="BK48" s="22">
        <v>2</v>
      </c>
      <c r="BL48" s="22">
        <v>0</v>
      </c>
      <c r="BM48" s="22">
        <v>0</v>
      </c>
      <c r="BN48" s="22">
        <v>0</v>
      </c>
      <c r="BO48" s="22">
        <v>0</v>
      </c>
      <c r="BP48" s="22">
        <v>0</v>
      </c>
      <c r="BQ48" s="22">
        <v>0</v>
      </c>
      <c r="BR48" s="22">
        <v>0</v>
      </c>
      <c r="BS48" s="22">
        <v>0</v>
      </c>
      <c r="BT48" s="22">
        <v>0</v>
      </c>
      <c r="BU48" s="12">
        <v>0</v>
      </c>
      <c r="BV48" s="22">
        <v>0</v>
      </c>
      <c r="BW48" s="22">
        <v>0</v>
      </c>
      <c r="BX48" s="22">
        <v>0</v>
      </c>
      <c r="BY48" s="22">
        <v>0</v>
      </c>
      <c r="BZ48" s="22">
        <v>0</v>
      </c>
      <c r="CA48" s="22">
        <v>0</v>
      </c>
      <c r="CB48" s="22">
        <v>0</v>
      </c>
      <c r="CC48" s="22">
        <v>0</v>
      </c>
      <c r="CD48" s="22">
        <v>0</v>
      </c>
      <c r="CE48" s="22">
        <v>0</v>
      </c>
      <c r="CF48" s="22">
        <v>0</v>
      </c>
      <c r="CG48" s="22">
        <v>0</v>
      </c>
      <c r="CH48" s="19">
        <v>0</v>
      </c>
      <c r="CI48" s="22">
        <v>0</v>
      </c>
      <c r="CJ48" s="22">
        <v>0</v>
      </c>
      <c r="CK48" s="22">
        <v>0</v>
      </c>
      <c r="CL48" s="22">
        <v>0</v>
      </c>
      <c r="CM48" s="22">
        <v>0</v>
      </c>
      <c r="CN48" s="22">
        <v>0</v>
      </c>
      <c r="CO48" s="22">
        <v>0</v>
      </c>
      <c r="CP48" s="22">
        <v>0</v>
      </c>
      <c r="CQ48" s="22">
        <v>0</v>
      </c>
      <c r="CR48" s="22">
        <v>0</v>
      </c>
      <c r="CS48" s="12">
        <v>0</v>
      </c>
      <c r="CT48" s="19">
        <v>0</v>
      </c>
      <c r="CU48" s="22">
        <v>0</v>
      </c>
      <c r="CV48" s="22">
        <v>0</v>
      </c>
      <c r="CW48" s="22">
        <v>0</v>
      </c>
      <c r="CX48" s="22">
        <v>0</v>
      </c>
      <c r="CY48" s="22">
        <v>0</v>
      </c>
      <c r="CZ48" s="22">
        <v>0</v>
      </c>
      <c r="DA48" s="22">
        <v>0</v>
      </c>
      <c r="DB48" s="22">
        <v>0</v>
      </c>
      <c r="DC48" s="22">
        <v>0</v>
      </c>
      <c r="DD48" s="22">
        <v>0</v>
      </c>
      <c r="DE48" s="12">
        <v>0</v>
      </c>
      <c r="DF48" s="19">
        <v>0</v>
      </c>
      <c r="DG48" s="22">
        <v>0</v>
      </c>
      <c r="DH48" s="22">
        <v>0</v>
      </c>
      <c r="DI48" s="22">
        <v>0</v>
      </c>
      <c r="DJ48" s="22">
        <v>0</v>
      </c>
      <c r="DK48" s="22">
        <v>0</v>
      </c>
      <c r="DL48" s="22">
        <v>0</v>
      </c>
      <c r="DM48" s="22">
        <v>0</v>
      </c>
      <c r="DN48" s="22">
        <v>0</v>
      </c>
      <c r="DO48" s="22">
        <v>0</v>
      </c>
      <c r="DP48" s="22">
        <v>0</v>
      </c>
      <c r="DQ48" s="12">
        <v>0</v>
      </c>
      <c r="DR48" s="19">
        <v>0</v>
      </c>
      <c r="DS48" s="22">
        <v>0</v>
      </c>
      <c r="DT48" s="22">
        <v>0</v>
      </c>
      <c r="DU48" s="22">
        <v>0</v>
      </c>
      <c r="DV48" s="22">
        <v>0</v>
      </c>
      <c r="DW48" s="22">
        <v>0</v>
      </c>
      <c r="DX48" s="22">
        <v>0</v>
      </c>
      <c r="DY48" s="22">
        <v>0</v>
      </c>
      <c r="DZ48" s="22">
        <v>0</v>
      </c>
      <c r="EA48" s="22">
        <v>0</v>
      </c>
      <c r="EB48" s="22">
        <v>0</v>
      </c>
      <c r="EC48" s="12">
        <v>0</v>
      </c>
      <c r="ED48" s="12">
        <f t="shared" si="141"/>
        <v>2</v>
      </c>
      <c r="EF48" s="6">
        <f>+W48+X48+Y48</f>
        <v>0</v>
      </c>
      <c r="EG48" s="19">
        <f>+Z48+AA48+AB48</f>
        <v>0</v>
      </c>
      <c r="EH48" s="22">
        <f>+AC48+AD48+AE48</f>
        <v>0</v>
      </c>
      <c r="EI48" s="22">
        <f>+AF48+AG48+AH48</f>
        <v>0</v>
      </c>
      <c r="EJ48" s="12">
        <f>+AI48+AJ48+AK48</f>
        <v>0</v>
      </c>
      <c r="EK48" s="22">
        <f>+AL48+AM48+AN48</f>
        <v>0</v>
      </c>
      <c r="EL48" s="22">
        <f>+AO48+AP48+AQ48</f>
        <v>0</v>
      </c>
      <c r="EM48" s="22">
        <f>+AR48+AS48+AT48</f>
        <v>0</v>
      </c>
      <c r="EN48" s="12">
        <f>+AU48+AV48+AW48</f>
        <v>0</v>
      </c>
      <c r="EO48" s="22">
        <f>+AX48+AY48+AZ48</f>
        <v>0</v>
      </c>
      <c r="EP48" s="22">
        <f>+BA48+BB48+BC48</f>
        <v>0</v>
      </c>
      <c r="EQ48" s="22">
        <f>+BD48+BE48+BF48</f>
        <v>0</v>
      </c>
      <c r="ER48" s="12">
        <f t="shared" si="174"/>
        <v>0</v>
      </c>
      <c r="ES48" s="90">
        <f>SUM(BJ48:BL48)</f>
        <v>2</v>
      </c>
      <c r="ET48" s="94">
        <f>SUM(BM48:BO48)</f>
        <v>0</v>
      </c>
      <c r="EU48" s="94">
        <f t="shared" si="99"/>
        <v>0</v>
      </c>
      <c r="EV48" s="28">
        <f>SUM(BS48:BU48)</f>
        <v>0</v>
      </c>
      <c r="EW48" s="90">
        <f t="shared" si="115"/>
        <v>0</v>
      </c>
      <c r="EX48" s="94">
        <f t="shared" si="100"/>
        <v>0</v>
      </c>
      <c r="EY48" s="94">
        <f t="shared" si="101"/>
        <v>0</v>
      </c>
      <c r="EZ48" s="28">
        <f t="shared" si="102"/>
        <v>0</v>
      </c>
      <c r="FA48" s="90">
        <f t="shared" si="103"/>
        <v>0</v>
      </c>
      <c r="FB48" s="94">
        <f t="shared" si="104"/>
        <v>0</v>
      </c>
      <c r="FC48" s="94">
        <f t="shared" si="105"/>
        <v>0</v>
      </c>
      <c r="FD48" s="28">
        <f t="shared" si="106"/>
        <v>0</v>
      </c>
      <c r="FE48" s="90">
        <f t="shared" si="116"/>
        <v>0</v>
      </c>
      <c r="FF48" s="94">
        <f t="shared" si="117"/>
        <v>0</v>
      </c>
      <c r="FG48" s="94">
        <f t="shared" si="118"/>
        <v>0</v>
      </c>
      <c r="FH48" s="28">
        <f t="shared" si="119"/>
        <v>0</v>
      </c>
      <c r="FI48" s="90">
        <f t="shared" si="77"/>
        <v>0</v>
      </c>
      <c r="FJ48" s="94">
        <f t="shared" si="78"/>
        <v>0</v>
      </c>
      <c r="FK48" s="94">
        <f t="shared" si="79"/>
        <v>0</v>
      </c>
      <c r="FL48" s="28">
        <f t="shared" si="80"/>
        <v>0</v>
      </c>
      <c r="FM48" s="90">
        <f t="shared" si="107"/>
        <v>0</v>
      </c>
      <c r="FN48" s="94">
        <f t="shared" si="108"/>
        <v>0</v>
      </c>
      <c r="FO48" s="94">
        <f t="shared" si="109"/>
        <v>0</v>
      </c>
      <c r="FP48" s="28">
        <f t="shared" si="110"/>
        <v>0</v>
      </c>
      <c r="FR48" s="19">
        <f t="shared" si="81"/>
        <v>0</v>
      </c>
      <c r="FS48" s="22">
        <f t="shared" si="82"/>
        <v>0</v>
      </c>
      <c r="FT48" s="22">
        <f t="shared" si="83"/>
        <v>0</v>
      </c>
      <c r="FU48" s="22">
        <f t="shared" si="84"/>
        <v>0</v>
      </c>
      <c r="FV48" s="22">
        <f t="shared" si="85"/>
        <v>2</v>
      </c>
      <c r="FW48" s="22">
        <f t="shared" si="111"/>
        <v>0</v>
      </c>
      <c r="FX48" s="22">
        <f t="shared" si="112"/>
        <v>0</v>
      </c>
      <c r="FY48" s="22">
        <f t="shared" si="113"/>
        <v>0</v>
      </c>
      <c r="FZ48" s="94">
        <f t="shared" si="86"/>
        <v>0</v>
      </c>
      <c r="GA48" s="28">
        <f t="shared" si="114"/>
        <v>0</v>
      </c>
    </row>
    <row r="49" spans="1:183">
      <c r="A49" s="128" t="s">
        <v>1063</v>
      </c>
      <c r="B49" s="261"/>
      <c r="C49">
        <v>0</v>
      </c>
      <c r="D49">
        <v>0</v>
      </c>
      <c r="E49">
        <v>0</v>
      </c>
      <c r="F49">
        <v>0</v>
      </c>
      <c r="G49">
        <v>0</v>
      </c>
      <c r="H49">
        <v>0</v>
      </c>
      <c r="I49">
        <v>0</v>
      </c>
      <c r="J49">
        <v>0</v>
      </c>
      <c r="K49">
        <v>0</v>
      </c>
      <c r="L49">
        <v>0</v>
      </c>
      <c r="M49">
        <v>0</v>
      </c>
      <c r="N49" s="22">
        <v>0</v>
      </c>
      <c r="O49" s="22">
        <v>0</v>
      </c>
      <c r="P49" s="22">
        <v>0</v>
      </c>
      <c r="Q49" s="22">
        <v>0</v>
      </c>
      <c r="R49" s="22">
        <v>0</v>
      </c>
      <c r="S49" s="22">
        <v>0</v>
      </c>
      <c r="T49" s="22">
        <v>0</v>
      </c>
      <c r="U49" s="22">
        <v>0</v>
      </c>
      <c r="V49" s="22">
        <v>0</v>
      </c>
      <c r="W49" s="22">
        <v>0</v>
      </c>
      <c r="X49" s="22">
        <v>0</v>
      </c>
      <c r="Y49" s="12">
        <v>0</v>
      </c>
      <c r="Z49" s="19">
        <v>0</v>
      </c>
      <c r="AA49" s="22">
        <v>0</v>
      </c>
      <c r="AB49" s="22">
        <v>0</v>
      </c>
      <c r="AC49" s="22">
        <v>0</v>
      </c>
      <c r="AD49" s="22">
        <v>0</v>
      </c>
      <c r="AE49" s="22">
        <v>0</v>
      </c>
      <c r="AF49" s="22">
        <v>0</v>
      </c>
      <c r="AG49" s="22">
        <v>0</v>
      </c>
      <c r="AH49" s="22">
        <v>0</v>
      </c>
      <c r="AI49" s="22">
        <v>0</v>
      </c>
      <c r="AJ49" s="22">
        <v>0</v>
      </c>
      <c r="AK49" s="12">
        <v>0</v>
      </c>
      <c r="AL49" s="19">
        <v>0</v>
      </c>
      <c r="AM49" s="22">
        <v>0</v>
      </c>
      <c r="AN49" s="22">
        <v>0</v>
      </c>
      <c r="AO49" s="22">
        <v>0</v>
      </c>
      <c r="AP49" s="22">
        <v>0</v>
      </c>
      <c r="AQ49" s="22">
        <v>2</v>
      </c>
      <c r="AR49" s="22">
        <v>3</v>
      </c>
      <c r="AS49" s="22">
        <v>0</v>
      </c>
      <c r="AT49" s="22">
        <v>0</v>
      </c>
      <c r="AU49" s="22">
        <v>0</v>
      </c>
      <c r="AV49" s="22">
        <v>0</v>
      </c>
      <c r="AW49" s="22">
        <v>0</v>
      </c>
      <c r="AX49" s="19">
        <v>0</v>
      </c>
      <c r="AY49" s="22">
        <v>1</v>
      </c>
      <c r="AZ49" s="22">
        <v>0</v>
      </c>
      <c r="BA49" s="22">
        <v>0</v>
      </c>
      <c r="BB49" s="22">
        <v>0</v>
      </c>
      <c r="BC49" s="22">
        <v>0</v>
      </c>
      <c r="BD49" s="22">
        <v>0</v>
      </c>
      <c r="BE49" s="22">
        <v>0</v>
      </c>
      <c r="BF49" s="22">
        <v>0</v>
      </c>
      <c r="BG49" s="22">
        <v>0</v>
      </c>
      <c r="BH49" s="22">
        <v>0</v>
      </c>
      <c r="BI49" s="12">
        <v>0</v>
      </c>
      <c r="BJ49" s="22">
        <v>0</v>
      </c>
      <c r="BK49" s="22">
        <v>0</v>
      </c>
      <c r="BL49" s="22">
        <v>0</v>
      </c>
      <c r="BM49" s="22">
        <v>0</v>
      </c>
      <c r="BN49" s="22">
        <v>0</v>
      </c>
      <c r="BO49" s="22">
        <v>0</v>
      </c>
      <c r="BP49" s="22">
        <v>0</v>
      </c>
      <c r="BQ49" s="22">
        <v>0</v>
      </c>
      <c r="BR49" s="22">
        <v>0</v>
      </c>
      <c r="BS49" s="22">
        <v>0</v>
      </c>
      <c r="BT49" s="22">
        <v>0</v>
      </c>
      <c r="BU49" s="12">
        <v>0</v>
      </c>
      <c r="BV49" s="22">
        <v>0</v>
      </c>
      <c r="BW49" s="22">
        <v>0</v>
      </c>
      <c r="BX49" s="22">
        <v>0</v>
      </c>
      <c r="BY49" s="22">
        <v>0</v>
      </c>
      <c r="BZ49" s="22">
        <v>0</v>
      </c>
      <c r="CA49" s="22">
        <v>0</v>
      </c>
      <c r="CB49" s="22">
        <v>1</v>
      </c>
      <c r="CC49" s="22">
        <v>0</v>
      </c>
      <c r="CD49" s="22">
        <v>0</v>
      </c>
      <c r="CE49" s="22">
        <v>0</v>
      </c>
      <c r="CF49" s="22">
        <v>1</v>
      </c>
      <c r="CG49" s="22">
        <v>0</v>
      </c>
      <c r="CH49" s="20">
        <v>0</v>
      </c>
      <c r="CI49" s="24">
        <v>0</v>
      </c>
      <c r="CJ49" s="24">
        <v>0</v>
      </c>
      <c r="CK49" s="24">
        <v>0</v>
      </c>
      <c r="CL49" s="24">
        <v>0</v>
      </c>
      <c r="CM49" s="24">
        <v>0</v>
      </c>
      <c r="CN49" s="24">
        <v>0</v>
      </c>
      <c r="CO49" s="24">
        <v>0</v>
      </c>
      <c r="CP49" s="24">
        <v>0</v>
      </c>
      <c r="CQ49" s="24">
        <v>0</v>
      </c>
      <c r="CR49" s="24">
        <v>0</v>
      </c>
      <c r="CS49" s="13">
        <v>0</v>
      </c>
      <c r="CT49" s="20">
        <v>0</v>
      </c>
      <c r="CU49" s="24">
        <v>0</v>
      </c>
      <c r="CV49" s="24">
        <v>0</v>
      </c>
      <c r="CW49" s="24">
        <v>0</v>
      </c>
      <c r="CX49" s="24">
        <v>0</v>
      </c>
      <c r="CY49" s="24">
        <v>0</v>
      </c>
      <c r="CZ49" s="24">
        <v>0</v>
      </c>
      <c r="DA49" s="24">
        <v>0</v>
      </c>
      <c r="DB49" s="24">
        <v>0</v>
      </c>
      <c r="DC49" s="24">
        <v>0</v>
      </c>
      <c r="DD49" s="24">
        <v>0</v>
      </c>
      <c r="DE49" s="13">
        <v>0</v>
      </c>
      <c r="DF49" s="20">
        <v>0</v>
      </c>
      <c r="DG49" s="24">
        <v>0</v>
      </c>
      <c r="DH49" s="24">
        <v>0</v>
      </c>
      <c r="DI49" s="24">
        <v>0</v>
      </c>
      <c r="DJ49" s="24">
        <v>0</v>
      </c>
      <c r="DK49" s="24">
        <v>0</v>
      </c>
      <c r="DL49" s="24">
        <v>0</v>
      </c>
      <c r="DM49" s="24">
        <v>0</v>
      </c>
      <c r="DN49" s="24">
        <v>0</v>
      </c>
      <c r="DO49" s="24">
        <v>0</v>
      </c>
      <c r="DP49" s="24">
        <v>0</v>
      </c>
      <c r="DQ49" s="13">
        <v>0</v>
      </c>
      <c r="DR49" s="20">
        <v>0</v>
      </c>
      <c r="DS49" s="24">
        <v>0</v>
      </c>
      <c r="DT49" s="24">
        <v>0</v>
      </c>
      <c r="DU49" s="24">
        <v>0</v>
      </c>
      <c r="DV49" s="24">
        <v>0</v>
      </c>
      <c r="DW49" s="24">
        <v>0</v>
      </c>
      <c r="DX49" s="24">
        <v>0</v>
      </c>
      <c r="DY49" s="24">
        <v>0</v>
      </c>
      <c r="DZ49" s="24">
        <v>0</v>
      </c>
      <c r="EA49" s="24">
        <v>0</v>
      </c>
      <c r="EB49" s="24">
        <v>0</v>
      </c>
      <c r="EC49" s="13">
        <v>0</v>
      </c>
      <c r="ED49" s="13">
        <f t="shared" si="141"/>
        <v>8</v>
      </c>
      <c r="EF49" s="6">
        <f t="shared" si="87"/>
        <v>0</v>
      </c>
      <c r="EG49" s="19">
        <f t="shared" si="88"/>
        <v>0</v>
      </c>
      <c r="EH49" s="22">
        <f t="shared" si="89"/>
        <v>0</v>
      </c>
      <c r="EI49" s="22">
        <f t="shared" si="90"/>
        <v>0</v>
      </c>
      <c r="EJ49" s="12">
        <f t="shared" si="91"/>
        <v>0</v>
      </c>
      <c r="EK49" s="22">
        <f t="shared" si="92"/>
        <v>0</v>
      </c>
      <c r="EL49" s="22">
        <f t="shared" si="93"/>
        <v>2</v>
      </c>
      <c r="EM49" s="22">
        <f t="shared" si="94"/>
        <v>3</v>
      </c>
      <c r="EN49" s="12">
        <f t="shared" si="95"/>
        <v>0</v>
      </c>
      <c r="EO49" s="22">
        <f t="shared" si="96"/>
        <v>1</v>
      </c>
      <c r="EP49" s="22">
        <f t="shared" si="97"/>
        <v>0</v>
      </c>
      <c r="EQ49" s="22">
        <f t="shared" si="98"/>
        <v>0</v>
      </c>
      <c r="ER49" s="12">
        <f t="shared" si="174"/>
        <v>0</v>
      </c>
      <c r="ES49" s="47">
        <f t="shared" si="70"/>
        <v>0</v>
      </c>
      <c r="ET49" s="95">
        <f t="shared" si="71"/>
        <v>0</v>
      </c>
      <c r="EU49" s="95">
        <f t="shared" si="99"/>
        <v>0</v>
      </c>
      <c r="EV49" s="29">
        <f t="shared" si="72"/>
        <v>0</v>
      </c>
      <c r="EW49" s="47">
        <f t="shared" si="115"/>
        <v>0</v>
      </c>
      <c r="EX49" s="95">
        <f t="shared" si="100"/>
        <v>0</v>
      </c>
      <c r="EY49" s="95">
        <f t="shared" si="101"/>
        <v>1</v>
      </c>
      <c r="EZ49" s="29">
        <f t="shared" si="102"/>
        <v>1</v>
      </c>
      <c r="FA49" s="47">
        <f t="shared" si="103"/>
        <v>0</v>
      </c>
      <c r="FB49" s="95">
        <f t="shared" si="104"/>
        <v>0</v>
      </c>
      <c r="FC49" s="95">
        <f t="shared" si="105"/>
        <v>0</v>
      </c>
      <c r="FD49" s="29">
        <f t="shared" si="106"/>
        <v>0</v>
      </c>
      <c r="FE49" s="47">
        <f t="shared" si="116"/>
        <v>0</v>
      </c>
      <c r="FF49" s="95">
        <f t="shared" si="117"/>
        <v>0</v>
      </c>
      <c r="FG49" s="95">
        <f t="shared" si="118"/>
        <v>0</v>
      </c>
      <c r="FH49" s="29">
        <f t="shared" si="119"/>
        <v>0</v>
      </c>
      <c r="FI49" s="47">
        <f t="shared" si="77"/>
        <v>0</v>
      </c>
      <c r="FJ49" s="95">
        <f t="shared" si="78"/>
        <v>0</v>
      </c>
      <c r="FK49" s="95">
        <f t="shared" si="79"/>
        <v>0</v>
      </c>
      <c r="FL49" s="29">
        <f t="shared" si="80"/>
        <v>0</v>
      </c>
      <c r="FM49" s="47">
        <f t="shared" si="107"/>
        <v>0</v>
      </c>
      <c r="FN49" s="95">
        <f t="shared" si="108"/>
        <v>0</v>
      </c>
      <c r="FO49" s="95">
        <f t="shared" si="109"/>
        <v>0</v>
      </c>
      <c r="FP49" s="29">
        <f t="shared" si="110"/>
        <v>0</v>
      </c>
      <c r="FR49" s="20">
        <f t="shared" si="81"/>
        <v>0</v>
      </c>
      <c r="FS49" s="24">
        <f t="shared" si="82"/>
        <v>0</v>
      </c>
      <c r="FT49" s="24">
        <f t="shared" si="83"/>
        <v>5</v>
      </c>
      <c r="FU49" s="24">
        <f t="shared" si="84"/>
        <v>1</v>
      </c>
      <c r="FV49" s="24">
        <f t="shared" si="85"/>
        <v>0</v>
      </c>
      <c r="FW49" s="24">
        <f t="shared" si="111"/>
        <v>2</v>
      </c>
      <c r="FX49" s="24">
        <f t="shared" si="112"/>
        <v>0</v>
      </c>
      <c r="FY49" s="24">
        <f t="shared" si="113"/>
        <v>0</v>
      </c>
      <c r="FZ49" s="95">
        <f t="shared" si="86"/>
        <v>0</v>
      </c>
      <c r="GA49" s="29">
        <f t="shared" si="114"/>
        <v>0</v>
      </c>
    </row>
    <row r="50" spans="1:183">
      <c r="A50" s="245" t="s">
        <v>626</v>
      </c>
      <c r="B50" s="262"/>
      <c r="C50">
        <v>0</v>
      </c>
      <c r="D50">
        <v>0</v>
      </c>
      <c r="E50">
        <v>0</v>
      </c>
      <c r="F50">
        <v>0</v>
      </c>
      <c r="G50">
        <v>0</v>
      </c>
      <c r="H50">
        <v>0</v>
      </c>
      <c r="I50">
        <v>0</v>
      </c>
      <c r="J50">
        <v>0</v>
      </c>
      <c r="K50">
        <v>0</v>
      </c>
      <c r="L50">
        <v>0</v>
      </c>
      <c r="M50">
        <v>0</v>
      </c>
      <c r="N50" s="253">
        <f t="shared" ref="N50:EP50" si="195">+N28+N31+N41</f>
        <v>0</v>
      </c>
      <c r="O50" s="253">
        <f t="shared" si="195"/>
        <v>0</v>
      </c>
      <c r="P50" s="253">
        <f t="shared" si="195"/>
        <v>0</v>
      </c>
      <c r="Q50" s="253">
        <f t="shared" si="195"/>
        <v>0</v>
      </c>
      <c r="R50" s="253">
        <f t="shared" si="195"/>
        <v>0</v>
      </c>
      <c r="S50" s="253">
        <f t="shared" si="195"/>
        <v>0</v>
      </c>
      <c r="T50" s="253">
        <f t="shared" si="195"/>
        <v>0</v>
      </c>
      <c r="U50" s="253">
        <f t="shared" si="195"/>
        <v>0</v>
      </c>
      <c r="V50" s="253">
        <f t="shared" si="195"/>
        <v>0</v>
      </c>
      <c r="W50" s="253">
        <f t="shared" si="195"/>
        <v>1</v>
      </c>
      <c r="X50" s="253">
        <f t="shared" si="195"/>
        <v>12</v>
      </c>
      <c r="Y50" s="256">
        <f t="shared" si="195"/>
        <v>10</v>
      </c>
      <c r="Z50" s="182">
        <f t="shared" si="195"/>
        <v>11</v>
      </c>
      <c r="AA50" s="253">
        <f t="shared" si="195"/>
        <v>5</v>
      </c>
      <c r="AB50" s="253">
        <f t="shared" si="195"/>
        <v>8</v>
      </c>
      <c r="AC50" s="253">
        <f t="shared" si="195"/>
        <v>3</v>
      </c>
      <c r="AD50" s="253">
        <f t="shared" si="195"/>
        <v>5</v>
      </c>
      <c r="AE50" s="253">
        <f t="shared" si="195"/>
        <v>8</v>
      </c>
      <c r="AF50" s="253">
        <f t="shared" si="195"/>
        <v>12</v>
      </c>
      <c r="AG50" s="253">
        <f t="shared" si="195"/>
        <v>1</v>
      </c>
      <c r="AH50" s="253">
        <f t="shared" si="195"/>
        <v>4</v>
      </c>
      <c r="AI50" s="253">
        <f t="shared" si="195"/>
        <v>9</v>
      </c>
      <c r="AJ50" s="253">
        <f t="shared" si="195"/>
        <v>8</v>
      </c>
      <c r="AK50" s="256">
        <f t="shared" si="195"/>
        <v>8</v>
      </c>
      <c r="AL50" s="182">
        <f t="shared" si="195"/>
        <v>7</v>
      </c>
      <c r="AM50" s="253">
        <f t="shared" si="195"/>
        <v>2</v>
      </c>
      <c r="AN50" s="253">
        <f t="shared" si="195"/>
        <v>13</v>
      </c>
      <c r="AO50" s="253">
        <f t="shared" si="195"/>
        <v>6</v>
      </c>
      <c r="AP50" s="253">
        <f t="shared" si="195"/>
        <v>5</v>
      </c>
      <c r="AQ50" s="253">
        <f t="shared" si="195"/>
        <v>8</v>
      </c>
      <c r="AR50" s="253">
        <f t="shared" si="195"/>
        <v>15</v>
      </c>
      <c r="AS50" s="253">
        <f t="shared" si="195"/>
        <v>7</v>
      </c>
      <c r="AT50" s="253">
        <f t="shared" si="195"/>
        <v>4</v>
      </c>
      <c r="AU50" s="253">
        <f t="shared" si="195"/>
        <v>4</v>
      </c>
      <c r="AV50" s="253">
        <f t="shared" si="195"/>
        <v>6</v>
      </c>
      <c r="AW50" s="253">
        <f t="shared" si="195"/>
        <v>4</v>
      </c>
      <c r="AX50" s="182">
        <f t="shared" si="195"/>
        <v>0</v>
      </c>
      <c r="AY50" s="253">
        <f t="shared" si="195"/>
        <v>3</v>
      </c>
      <c r="AZ50" s="253">
        <f t="shared" si="195"/>
        <v>5</v>
      </c>
      <c r="BA50" s="253">
        <f t="shared" si="195"/>
        <v>5</v>
      </c>
      <c r="BB50" s="253">
        <f t="shared" si="195"/>
        <v>2</v>
      </c>
      <c r="BC50" s="253">
        <f t="shared" si="195"/>
        <v>2</v>
      </c>
      <c r="BD50" s="253">
        <f t="shared" si="195"/>
        <v>6</v>
      </c>
      <c r="BE50" s="253">
        <f t="shared" si="195"/>
        <v>11</v>
      </c>
      <c r="BF50" s="253">
        <f t="shared" si="195"/>
        <v>25</v>
      </c>
      <c r="BG50" s="253">
        <f t="shared" si="195"/>
        <v>5</v>
      </c>
      <c r="BH50" s="253">
        <f t="shared" si="195"/>
        <v>3</v>
      </c>
      <c r="BI50" s="256">
        <f>+BI28+BI31+BI41</f>
        <v>13</v>
      </c>
      <c r="BJ50" s="253">
        <f t="shared" ref="BJ50:BU50" si="196">+BJ28+BJ31+BJ41</f>
        <v>32</v>
      </c>
      <c r="BK50" s="253">
        <f t="shared" si="196"/>
        <v>9</v>
      </c>
      <c r="BL50" s="253">
        <f t="shared" si="196"/>
        <v>1</v>
      </c>
      <c r="BM50" s="253">
        <f t="shared" si="196"/>
        <v>12</v>
      </c>
      <c r="BN50" s="253">
        <f t="shared" si="196"/>
        <v>11</v>
      </c>
      <c r="BO50" s="253">
        <f t="shared" si="196"/>
        <v>13</v>
      </c>
      <c r="BP50" s="253">
        <f t="shared" si="196"/>
        <v>6</v>
      </c>
      <c r="BQ50" s="253">
        <f t="shared" si="196"/>
        <v>8</v>
      </c>
      <c r="BR50" s="253">
        <f t="shared" si="196"/>
        <v>12</v>
      </c>
      <c r="BS50" s="253">
        <f t="shared" si="196"/>
        <v>5</v>
      </c>
      <c r="BT50" s="253">
        <f t="shared" si="196"/>
        <v>7</v>
      </c>
      <c r="BU50" s="256">
        <f t="shared" si="196"/>
        <v>11</v>
      </c>
      <c r="BV50" s="253">
        <f t="shared" ref="BV50:CS50" si="197">+BV28+BV31+BV41</f>
        <v>7</v>
      </c>
      <c r="BW50" s="253">
        <f t="shared" si="197"/>
        <v>5</v>
      </c>
      <c r="BX50" s="253">
        <f t="shared" si="197"/>
        <v>24</v>
      </c>
      <c r="BY50" s="253">
        <f t="shared" si="197"/>
        <v>8</v>
      </c>
      <c r="BZ50" s="253">
        <f t="shared" si="197"/>
        <v>5</v>
      </c>
      <c r="CA50" s="253">
        <f t="shared" si="197"/>
        <v>6</v>
      </c>
      <c r="CB50" s="253">
        <f t="shared" si="197"/>
        <v>13</v>
      </c>
      <c r="CC50" s="253">
        <f t="shared" si="197"/>
        <v>5</v>
      </c>
      <c r="CD50" s="253">
        <f t="shared" si="197"/>
        <v>16</v>
      </c>
      <c r="CE50" s="253">
        <f t="shared" si="197"/>
        <v>13</v>
      </c>
      <c r="CF50" s="253">
        <f t="shared" si="197"/>
        <v>16</v>
      </c>
      <c r="CG50" s="253">
        <f t="shared" si="197"/>
        <v>22</v>
      </c>
      <c r="CH50" s="182">
        <f t="shared" si="197"/>
        <v>10</v>
      </c>
      <c r="CI50" s="253">
        <f t="shared" si="197"/>
        <v>3</v>
      </c>
      <c r="CJ50" s="253">
        <f t="shared" si="197"/>
        <v>15</v>
      </c>
      <c r="CK50" s="253">
        <f t="shared" si="197"/>
        <v>7</v>
      </c>
      <c r="CL50" s="253">
        <f t="shared" si="197"/>
        <v>6</v>
      </c>
      <c r="CM50" s="253">
        <f t="shared" si="197"/>
        <v>4</v>
      </c>
      <c r="CN50" s="253">
        <f t="shared" si="197"/>
        <v>21</v>
      </c>
      <c r="CO50" s="253">
        <f t="shared" si="197"/>
        <v>18</v>
      </c>
      <c r="CP50" s="253">
        <f t="shared" si="197"/>
        <v>8</v>
      </c>
      <c r="CQ50" s="253">
        <f t="shared" si="197"/>
        <v>45</v>
      </c>
      <c r="CR50" s="253">
        <f t="shared" si="197"/>
        <v>29</v>
      </c>
      <c r="CS50" s="256">
        <f t="shared" si="197"/>
        <v>63</v>
      </c>
      <c r="CT50" s="182">
        <f t="shared" ref="CT50:DE50" si="198">+CT28+CT31+CT41</f>
        <v>18</v>
      </c>
      <c r="CU50" s="253">
        <f t="shared" si="198"/>
        <v>1</v>
      </c>
      <c r="CV50" s="253">
        <f t="shared" si="198"/>
        <v>0</v>
      </c>
      <c r="CW50" s="253">
        <f t="shared" si="198"/>
        <v>2</v>
      </c>
      <c r="CX50" s="253">
        <f t="shared" si="198"/>
        <v>1</v>
      </c>
      <c r="CY50" s="253">
        <f t="shared" si="198"/>
        <v>0</v>
      </c>
      <c r="CZ50" s="253">
        <f t="shared" si="198"/>
        <v>0</v>
      </c>
      <c r="DA50" s="253">
        <f t="shared" si="198"/>
        <v>2</v>
      </c>
      <c r="DB50" s="253">
        <f t="shared" si="198"/>
        <v>0</v>
      </c>
      <c r="DC50" s="253">
        <f t="shared" si="198"/>
        <v>1</v>
      </c>
      <c r="DD50" s="253">
        <f t="shared" si="198"/>
        <v>0</v>
      </c>
      <c r="DE50" s="256">
        <f t="shared" si="198"/>
        <v>1</v>
      </c>
      <c r="DF50" s="182">
        <f t="shared" ref="DF50:DQ50" si="199">+DF28+DF31+DF41</f>
        <v>0</v>
      </c>
      <c r="DG50" s="253">
        <f t="shared" si="199"/>
        <v>0</v>
      </c>
      <c r="DH50" s="253">
        <f t="shared" si="199"/>
        <v>0</v>
      </c>
      <c r="DI50" s="253">
        <f t="shared" si="199"/>
        <v>0</v>
      </c>
      <c r="DJ50" s="253">
        <f t="shared" si="199"/>
        <v>0</v>
      </c>
      <c r="DK50" s="253">
        <f t="shared" si="199"/>
        <v>0</v>
      </c>
      <c r="DL50" s="253">
        <f t="shared" si="199"/>
        <v>0</v>
      </c>
      <c r="DM50" s="253">
        <f t="shared" si="199"/>
        <v>0</v>
      </c>
      <c r="DN50" s="253">
        <f t="shared" si="199"/>
        <v>0</v>
      </c>
      <c r="DO50" s="253">
        <f t="shared" si="199"/>
        <v>0</v>
      </c>
      <c r="DP50" s="253">
        <f t="shared" si="199"/>
        <v>0</v>
      </c>
      <c r="DQ50" s="256">
        <f t="shared" si="199"/>
        <v>0</v>
      </c>
      <c r="DR50" s="182">
        <f t="shared" ref="DR50:EC50" si="200">+DR28+DR31+DR41</f>
        <v>0</v>
      </c>
      <c r="DS50" s="253">
        <f t="shared" si="200"/>
        <v>0</v>
      </c>
      <c r="DT50" s="253">
        <f t="shared" si="200"/>
        <v>0</v>
      </c>
      <c r="DU50" s="253">
        <f t="shared" si="200"/>
        <v>0</v>
      </c>
      <c r="DV50" s="253">
        <f t="shared" si="200"/>
        <v>0</v>
      </c>
      <c r="DW50" s="253">
        <f t="shared" si="200"/>
        <v>0</v>
      </c>
      <c r="DX50" s="253">
        <f t="shared" si="200"/>
        <v>0</v>
      </c>
      <c r="DY50" s="253">
        <f t="shared" si="200"/>
        <v>0</v>
      </c>
      <c r="DZ50" s="253">
        <f t="shared" si="200"/>
        <v>0</v>
      </c>
      <c r="EA50" s="253">
        <f t="shared" si="200"/>
        <v>0</v>
      </c>
      <c r="EB50" s="253">
        <f t="shared" si="200"/>
        <v>0</v>
      </c>
      <c r="EC50" s="256">
        <f t="shared" si="200"/>
        <v>0</v>
      </c>
      <c r="ED50" s="256">
        <f>+ED28+ED31+ED41</f>
        <v>788</v>
      </c>
      <c r="EF50" s="36">
        <f t="shared" si="87"/>
        <v>23</v>
      </c>
      <c r="EG50" s="120">
        <f t="shared" si="88"/>
        <v>24</v>
      </c>
      <c r="EH50" s="155">
        <f t="shared" si="89"/>
        <v>16</v>
      </c>
      <c r="EI50" s="155">
        <f t="shared" si="90"/>
        <v>17</v>
      </c>
      <c r="EJ50" s="177">
        <f t="shared" si="91"/>
        <v>25</v>
      </c>
      <c r="EK50" s="155">
        <f t="shared" si="92"/>
        <v>22</v>
      </c>
      <c r="EL50" s="155">
        <f t="shared" si="93"/>
        <v>19</v>
      </c>
      <c r="EM50" s="155">
        <f t="shared" si="94"/>
        <v>26</v>
      </c>
      <c r="EN50" s="177">
        <f t="shared" si="95"/>
        <v>14</v>
      </c>
      <c r="EO50" s="155">
        <f t="shared" si="195"/>
        <v>8</v>
      </c>
      <c r="EP50" s="155">
        <f t="shared" si="195"/>
        <v>9</v>
      </c>
      <c r="EQ50" s="155">
        <f>+EQ28+EQ31+EQ41</f>
        <v>42</v>
      </c>
      <c r="ER50" s="177">
        <f>+ER28+ER31+ER41</f>
        <v>19</v>
      </c>
      <c r="ES50" s="157">
        <f t="shared" si="70"/>
        <v>42</v>
      </c>
      <c r="ET50" s="139">
        <f t="shared" si="71"/>
        <v>36</v>
      </c>
      <c r="EU50" s="139">
        <f t="shared" si="99"/>
        <v>26</v>
      </c>
      <c r="EV50" s="412">
        <f t="shared" si="72"/>
        <v>23</v>
      </c>
      <c r="EW50" s="157">
        <f t="shared" si="115"/>
        <v>36</v>
      </c>
      <c r="EX50" s="139">
        <f t="shared" si="100"/>
        <v>19</v>
      </c>
      <c r="EY50" s="139">
        <f t="shared" si="101"/>
        <v>34</v>
      </c>
      <c r="EZ50" s="412">
        <f t="shared" si="102"/>
        <v>51</v>
      </c>
      <c r="FA50" s="157">
        <f>SUM(CH50:CJ50)</f>
        <v>28</v>
      </c>
      <c r="FB50" s="139">
        <f>SUM(CK50:CM50)</f>
        <v>17</v>
      </c>
      <c r="FC50" s="139">
        <f>SUM(CN50:CP50)</f>
        <v>47</v>
      </c>
      <c r="FD50" s="412">
        <f>SUM(CQ50:CS50)</f>
        <v>137</v>
      </c>
      <c r="FE50" s="157">
        <f t="shared" ref="FE50" si="201">SUM(CT50:CV50)</f>
        <v>19</v>
      </c>
      <c r="FF50" s="139">
        <f t="shared" ref="FF50" si="202">SUM(CW50:CY50)</f>
        <v>3</v>
      </c>
      <c r="FG50" s="139">
        <f t="shared" ref="FG50" si="203">SUM(CZ50:DB50)</f>
        <v>2</v>
      </c>
      <c r="FH50" s="412">
        <f t="shared" ref="FH50" si="204">SUM(DC50:DE50)</f>
        <v>2</v>
      </c>
      <c r="FI50" s="157">
        <f t="shared" si="77"/>
        <v>0</v>
      </c>
      <c r="FJ50" s="139">
        <f t="shared" si="78"/>
        <v>0</v>
      </c>
      <c r="FK50" s="139">
        <f t="shared" si="79"/>
        <v>0</v>
      </c>
      <c r="FL50" s="412">
        <f t="shared" si="80"/>
        <v>0</v>
      </c>
      <c r="FM50" s="157">
        <f t="shared" si="107"/>
        <v>0</v>
      </c>
      <c r="FN50" s="139">
        <f t="shared" si="108"/>
        <v>0</v>
      </c>
      <c r="FO50" s="139">
        <f t="shared" si="109"/>
        <v>0</v>
      </c>
      <c r="FP50" s="412">
        <f t="shared" si="110"/>
        <v>0</v>
      </c>
      <c r="FR50" s="1096">
        <f>+FR28+FR31+FR41</f>
        <v>23</v>
      </c>
      <c r="FS50" s="1097">
        <f>+FS28+FS31+FS41</f>
        <v>82</v>
      </c>
      <c r="FT50" s="1097">
        <f>+FT28+FT31+FT41</f>
        <v>81</v>
      </c>
      <c r="FU50" s="1097">
        <f>+FU28+FU31+FU41</f>
        <v>78</v>
      </c>
      <c r="FV50" s="1097">
        <f t="shared" si="85"/>
        <v>127</v>
      </c>
      <c r="FW50" s="1097">
        <f t="shared" si="111"/>
        <v>140</v>
      </c>
      <c r="FX50" s="1097">
        <f t="shared" si="112"/>
        <v>229</v>
      </c>
      <c r="FY50" s="1097">
        <f>SUM(FE50:FH50)</f>
        <v>26</v>
      </c>
      <c r="FZ50" s="1098">
        <f t="shared" si="86"/>
        <v>0</v>
      </c>
      <c r="GA50" s="1099">
        <f t="shared" si="114"/>
        <v>0</v>
      </c>
    </row>
    <row r="51" spans="1:183">
      <c r="A51" s="5" t="s">
        <v>1176</v>
      </c>
      <c r="B51" s="97"/>
      <c r="N51" s="19"/>
      <c r="O51" s="22"/>
      <c r="P51" s="22"/>
      <c r="Q51" s="22"/>
      <c r="R51" s="22"/>
      <c r="S51" s="22"/>
      <c r="T51" s="22"/>
      <c r="U51" s="22"/>
      <c r="V51" s="22"/>
      <c r="W51" s="22"/>
      <c r="X51" s="22"/>
      <c r="Y51" s="22"/>
      <c r="Z51" s="22"/>
      <c r="AA51" s="22"/>
      <c r="AB51" s="22"/>
      <c r="AC51" s="22"/>
      <c r="AD51" s="22"/>
      <c r="AE51" s="22"/>
      <c r="AF51" s="22"/>
      <c r="AG51" s="22"/>
      <c r="AH51" s="22"/>
      <c r="AI51" s="22"/>
      <c r="AJ51" s="22"/>
      <c r="AK51" s="22"/>
      <c r="AL51" s="22"/>
      <c r="AM51" s="22"/>
      <c r="AN51" s="22"/>
      <c r="AO51" s="22"/>
      <c r="AP51" s="22"/>
      <c r="AQ51" s="22"/>
      <c r="AR51" s="22"/>
      <c r="AS51" s="22"/>
      <c r="AT51" s="22"/>
      <c r="AU51" s="22"/>
      <c r="AV51" s="22"/>
      <c r="AW51" s="22"/>
      <c r="AX51" s="22"/>
      <c r="AY51" s="22"/>
      <c r="AZ51" s="22"/>
      <c r="BA51" s="22"/>
      <c r="BB51" s="22"/>
      <c r="BC51" s="22"/>
      <c r="BD51" s="22"/>
      <c r="BE51" s="22"/>
      <c r="BF51" s="22"/>
      <c r="BG51" s="22"/>
      <c r="BH51" s="22"/>
      <c r="BI51" s="22"/>
      <c r="BJ51" s="22"/>
      <c r="BK51" s="22"/>
      <c r="BL51" s="22"/>
      <c r="BM51" s="22"/>
      <c r="BN51" s="22"/>
      <c r="BO51" s="22"/>
      <c r="BP51" s="22"/>
      <c r="BQ51" s="22"/>
      <c r="BR51" s="22"/>
      <c r="BS51" s="22"/>
      <c r="BT51" s="22"/>
      <c r="BU51" s="22"/>
      <c r="BV51" s="22"/>
      <c r="BW51" s="22"/>
      <c r="BX51" s="22"/>
      <c r="BY51" s="22"/>
      <c r="BZ51" s="22"/>
      <c r="CA51" s="22"/>
      <c r="CB51" s="22"/>
      <c r="CC51" s="22"/>
      <c r="CD51" s="22"/>
      <c r="CE51" s="22"/>
      <c r="CF51" s="22"/>
      <c r="CG51" s="22"/>
      <c r="CH51" s="22"/>
      <c r="CI51" s="22"/>
      <c r="CJ51" s="22"/>
      <c r="CK51" s="22"/>
      <c r="CL51" s="22"/>
      <c r="CM51" s="22"/>
      <c r="CN51" s="22"/>
      <c r="CO51" s="22"/>
      <c r="CP51" s="22"/>
      <c r="CQ51" s="22"/>
      <c r="CR51" s="22"/>
      <c r="CS51" s="22"/>
      <c r="CT51" s="22"/>
      <c r="CU51" s="22"/>
      <c r="CV51" s="22"/>
      <c r="CW51" s="22"/>
      <c r="CX51" s="22"/>
      <c r="CY51" s="22"/>
      <c r="CZ51" s="22"/>
      <c r="DA51" s="22"/>
      <c r="DB51" s="22"/>
      <c r="DC51" s="22"/>
      <c r="DD51" s="22"/>
      <c r="DE51" s="22"/>
      <c r="DF51" s="22"/>
      <c r="DG51" s="22"/>
      <c r="DH51" s="22"/>
      <c r="DI51" s="22"/>
      <c r="DJ51" s="22"/>
      <c r="DK51" s="22"/>
      <c r="DL51" s="22"/>
      <c r="DM51" s="22"/>
      <c r="DN51" s="22"/>
      <c r="DO51" s="22"/>
      <c r="DP51" s="22"/>
      <c r="DQ51" s="22"/>
      <c r="DR51" s="22"/>
      <c r="DS51" s="22"/>
      <c r="DT51" s="22"/>
      <c r="DU51" s="22"/>
      <c r="DV51" s="22"/>
      <c r="DW51" s="22"/>
      <c r="DX51" s="22"/>
      <c r="DY51" s="22"/>
      <c r="DZ51" s="22"/>
      <c r="EA51" s="22"/>
      <c r="EB51" s="22"/>
      <c r="EC51" s="22"/>
      <c r="ED51" s="22"/>
      <c r="EE51" s="22"/>
      <c r="EF51" s="316">
        <f t="shared" ref="EF51:ER51" si="205">+EF29/EF50</f>
        <v>0.52173913043478259</v>
      </c>
      <c r="EG51" s="281">
        <f t="shared" si="205"/>
        <v>0.45833333333333331</v>
      </c>
      <c r="EH51" s="281">
        <f t="shared" si="205"/>
        <v>0.5</v>
      </c>
      <c r="EI51" s="281">
        <f t="shared" si="205"/>
        <v>0.47058823529411764</v>
      </c>
      <c r="EJ51" s="281">
        <f t="shared" si="205"/>
        <v>0.64</v>
      </c>
      <c r="EK51" s="248">
        <f t="shared" si="205"/>
        <v>0.77272727272727271</v>
      </c>
      <c r="EL51" s="281">
        <f t="shared" si="205"/>
        <v>0.36842105263157893</v>
      </c>
      <c r="EM51" s="281">
        <f t="shared" si="205"/>
        <v>0.23076923076923078</v>
      </c>
      <c r="EN51" s="282">
        <f t="shared" si="205"/>
        <v>0.42857142857142855</v>
      </c>
      <c r="EO51" s="281">
        <f t="shared" si="205"/>
        <v>0.375</v>
      </c>
      <c r="EP51" s="281">
        <f t="shared" si="205"/>
        <v>0.77777777777777779</v>
      </c>
      <c r="EQ51" s="281">
        <f t="shared" si="205"/>
        <v>0.11904761904761904</v>
      </c>
      <c r="ER51" s="281">
        <f t="shared" si="205"/>
        <v>0.47368421052631576</v>
      </c>
      <c r="ES51" s="248">
        <f t="shared" ref="ES51:EZ51" si="206">+ES29/ES50</f>
        <v>0.11904761904761904</v>
      </c>
      <c r="ET51" s="281">
        <f t="shared" si="206"/>
        <v>5.5555555555555552E-2</v>
      </c>
      <c r="EU51" s="281">
        <f t="shared" si="206"/>
        <v>0.11538461538461539</v>
      </c>
      <c r="EV51" s="282">
        <f t="shared" si="206"/>
        <v>0.17391304347826086</v>
      </c>
      <c r="EW51" s="248">
        <f t="shared" si="206"/>
        <v>0.22222222222222221</v>
      </c>
      <c r="EX51" s="281">
        <f t="shared" si="206"/>
        <v>0.26315789473684209</v>
      </c>
      <c r="EY51" s="281">
        <f t="shared" si="206"/>
        <v>0.14705882352941177</v>
      </c>
      <c r="EZ51" s="282">
        <f t="shared" si="206"/>
        <v>7.8431372549019607E-2</v>
      </c>
      <c r="FA51" s="248">
        <f t="shared" ref="FA51:FD51" si="207">+FA29/FA50</f>
        <v>0.4642857142857143</v>
      </c>
      <c r="FB51" s="281">
        <f t="shared" si="207"/>
        <v>0.35294117647058826</v>
      </c>
      <c r="FC51" s="281">
        <f t="shared" si="207"/>
        <v>0.44680851063829785</v>
      </c>
      <c r="FD51" s="282">
        <f t="shared" si="207"/>
        <v>8.0291970802919707E-2</v>
      </c>
      <c r="FE51" s="248">
        <f t="shared" ref="FE51:FH51" si="208">+FE29/FE50</f>
        <v>0</v>
      </c>
      <c r="FF51" s="281">
        <f t="shared" si="208"/>
        <v>0</v>
      </c>
      <c r="FG51" s="281">
        <f t="shared" si="208"/>
        <v>0</v>
      </c>
      <c r="FH51" s="282">
        <f t="shared" si="208"/>
        <v>0</v>
      </c>
      <c r="FI51" s="248"/>
      <c r="FJ51" s="281"/>
      <c r="FK51" s="281"/>
      <c r="FL51" s="282"/>
      <c r="FM51" s="248"/>
      <c r="FN51" s="281"/>
      <c r="FO51" s="281"/>
      <c r="FP51" s="282"/>
      <c r="FQ51" s="22"/>
    </row>
    <row r="52" spans="1:183">
      <c r="A52" s="8" t="s">
        <v>707</v>
      </c>
      <c r="B52" s="97"/>
      <c r="N52" s="22"/>
      <c r="O52" s="22"/>
      <c r="P52" s="22"/>
      <c r="Q52" s="22"/>
      <c r="R52" s="22"/>
      <c r="S52" s="22"/>
      <c r="T52" s="22"/>
      <c r="U52" s="22"/>
      <c r="V52" s="22"/>
      <c r="W52" s="22"/>
      <c r="X52" s="22"/>
      <c r="Y52" s="22"/>
      <c r="Z52" s="22"/>
      <c r="AA52" s="22"/>
      <c r="AB52" s="22"/>
      <c r="AC52" s="22"/>
      <c r="AD52" s="22"/>
      <c r="AE52" s="22"/>
      <c r="AF52" s="22"/>
      <c r="AG52" s="22"/>
      <c r="AH52" s="22"/>
      <c r="AI52" s="22"/>
      <c r="AJ52" s="22"/>
      <c r="AK52" s="22"/>
      <c r="AL52" s="22"/>
      <c r="AM52" s="22"/>
      <c r="AN52" s="22"/>
      <c r="AO52" s="22"/>
      <c r="AP52" s="22"/>
      <c r="AQ52" s="22"/>
      <c r="AR52" s="22"/>
      <c r="AS52" s="22"/>
      <c r="AT52" s="22"/>
      <c r="AU52" s="22"/>
      <c r="AV52" s="22"/>
      <c r="AW52" s="22"/>
      <c r="AX52" s="22"/>
      <c r="AY52" s="22"/>
      <c r="AZ52" s="22"/>
      <c r="BA52" s="22"/>
      <c r="BB52" s="22"/>
      <c r="BC52" s="22"/>
      <c r="BD52" s="22"/>
      <c r="BE52" s="22"/>
      <c r="BF52" s="22"/>
      <c r="BG52" s="22"/>
      <c r="BH52" s="22"/>
      <c r="BI52" s="22"/>
      <c r="BJ52" s="22"/>
      <c r="BK52" s="22"/>
      <c r="BL52" s="22"/>
      <c r="BM52" s="22"/>
      <c r="BN52" s="22"/>
      <c r="BO52" s="22"/>
      <c r="BP52" s="22"/>
      <c r="BQ52" s="22"/>
      <c r="BR52" s="22"/>
      <c r="BS52" s="22"/>
      <c r="BT52" s="22"/>
      <c r="BU52" s="22"/>
      <c r="BV52" s="22"/>
      <c r="BW52" s="22"/>
      <c r="BX52" s="22"/>
      <c r="BY52" s="22"/>
      <c r="BZ52" s="22"/>
      <c r="CA52" s="22"/>
      <c r="CB52" s="22"/>
      <c r="CC52" s="22"/>
      <c r="CD52" s="22"/>
      <c r="CE52" s="22"/>
      <c r="CF52" s="22"/>
      <c r="CG52" s="22"/>
      <c r="CH52" s="22"/>
      <c r="CI52" s="22"/>
      <c r="CJ52" s="22"/>
      <c r="CK52" s="22"/>
      <c r="CL52" s="22"/>
      <c r="CM52" s="22"/>
      <c r="CN52" s="22"/>
      <c r="CO52" s="22"/>
      <c r="CP52" s="22"/>
      <c r="CQ52" s="22"/>
      <c r="CR52" s="22"/>
      <c r="CS52" s="22"/>
      <c r="CT52" s="22"/>
      <c r="CU52" s="22"/>
      <c r="CV52" s="22"/>
      <c r="CW52" s="22"/>
      <c r="CX52" s="22"/>
      <c r="CY52" s="22"/>
      <c r="CZ52" s="22"/>
      <c r="DA52" s="22"/>
      <c r="DB52" s="22"/>
      <c r="DC52" s="22"/>
      <c r="DD52" s="22"/>
      <c r="DE52" s="22"/>
      <c r="DF52" s="22"/>
      <c r="DG52" s="22"/>
      <c r="DH52" s="22"/>
      <c r="DI52" s="22"/>
      <c r="DJ52" s="22"/>
      <c r="DK52" s="22"/>
      <c r="DL52" s="22"/>
      <c r="DM52" s="22"/>
      <c r="DN52" s="22"/>
      <c r="DO52" s="22"/>
      <c r="DP52" s="22"/>
      <c r="DQ52" s="22"/>
      <c r="DR52" s="22"/>
      <c r="DS52" s="22"/>
      <c r="DT52" s="22"/>
      <c r="DU52" s="22"/>
      <c r="DV52" s="22"/>
      <c r="DW52" s="22"/>
      <c r="DX52" s="22"/>
      <c r="DY52" s="22"/>
      <c r="DZ52" s="22"/>
      <c r="EA52" s="22"/>
      <c r="EB52" s="22"/>
      <c r="EC52" s="22"/>
      <c r="ED52" s="22"/>
      <c r="EE52" s="22"/>
      <c r="EF52" s="162">
        <f t="shared" ref="EF52:ER52" si="209">+EF30/EF50</f>
        <v>0.13043478260869565</v>
      </c>
      <c r="EG52" s="123">
        <f t="shared" si="209"/>
        <v>8.3333333333333329E-2</v>
      </c>
      <c r="EH52" s="123">
        <f t="shared" si="209"/>
        <v>0.1875</v>
      </c>
      <c r="EI52" s="123">
        <f t="shared" si="209"/>
        <v>0.41176470588235292</v>
      </c>
      <c r="EJ52" s="123">
        <f t="shared" si="209"/>
        <v>0.16</v>
      </c>
      <c r="EK52" s="179">
        <f t="shared" si="209"/>
        <v>9.0909090909090912E-2</v>
      </c>
      <c r="EL52" s="123">
        <f t="shared" si="209"/>
        <v>0.26315789473684209</v>
      </c>
      <c r="EM52" s="123">
        <f t="shared" si="209"/>
        <v>0.11538461538461539</v>
      </c>
      <c r="EN52" s="91">
        <f t="shared" si="209"/>
        <v>7.1428571428571425E-2</v>
      </c>
      <c r="EO52" s="123">
        <f t="shared" si="209"/>
        <v>0.125</v>
      </c>
      <c r="EP52" s="123">
        <f t="shared" si="209"/>
        <v>0</v>
      </c>
      <c r="EQ52" s="123">
        <f t="shared" si="209"/>
        <v>9.5238095238095233E-2</v>
      </c>
      <c r="ER52" s="123">
        <f t="shared" si="209"/>
        <v>0.15789473684210525</v>
      </c>
      <c r="ES52" s="179">
        <f t="shared" ref="ES52:EZ52" si="210">+ES30/ES50</f>
        <v>0.16666666666666666</v>
      </c>
      <c r="ET52" s="123">
        <f t="shared" si="210"/>
        <v>0.16666666666666666</v>
      </c>
      <c r="EU52" s="123">
        <f t="shared" si="210"/>
        <v>0.11538461538461539</v>
      </c>
      <c r="EV52" s="91">
        <f t="shared" si="210"/>
        <v>0.30434782608695654</v>
      </c>
      <c r="EW52" s="179">
        <f t="shared" si="210"/>
        <v>0.1388888888888889</v>
      </c>
      <c r="EX52" s="123">
        <f t="shared" si="210"/>
        <v>0.57894736842105265</v>
      </c>
      <c r="EY52" s="123">
        <f t="shared" si="210"/>
        <v>0.79411764705882348</v>
      </c>
      <c r="EZ52" s="91">
        <f t="shared" si="210"/>
        <v>0.84313725490196079</v>
      </c>
      <c r="FA52" s="179">
        <f t="shared" ref="FA52:FD52" si="211">+FA30/FA50</f>
        <v>0.39285714285714285</v>
      </c>
      <c r="FB52" s="123">
        <f t="shared" si="211"/>
        <v>0.47058823529411764</v>
      </c>
      <c r="FC52" s="123">
        <f t="shared" si="211"/>
        <v>0.51063829787234039</v>
      </c>
      <c r="FD52" s="91">
        <f t="shared" si="211"/>
        <v>0.87591240875912413</v>
      </c>
      <c r="FE52" s="179">
        <f t="shared" ref="FE52:FH52" si="212">+FE30/FE50</f>
        <v>0.21052631578947367</v>
      </c>
      <c r="FF52" s="123">
        <f t="shared" si="212"/>
        <v>1</v>
      </c>
      <c r="FG52" s="123">
        <f t="shared" si="212"/>
        <v>1</v>
      </c>
      <c r="FH52" s="91">
        <f t="shared" si="212"/>
        <v>1</v>
      </c>
      <c r="FI52" s="179"/>
      <c r="FJ52" s="123"/>
      <c r="FK52" s="123"/>
      <c r="FL52" s="91"/>
      <c r="FM52" s="179"/>
      <c r="FN52" s="123"/>
      <c r="FO52" s="123"/>
      <c r="FP52" s="91"/>
      <c r="FQ52" s="22"/>
    </row>
    <row r="53" spans="1:183">
      <c r="A53" s="8" t="s">
        <v>396</v>
      </c>
      <c r="B53" s="97"/>
      <c r="N53" s="22"/>
      <c r="O53" s="22"/>
      <c r="P53" s="22"/>
      <c r="Q53" s="22"/>
      <c r="R53" s="22"/>
      <c r="S53" s="22"/>
      <c r="T53" s="22"/>
      <c r="U53" s="22"/>
      <c r="V53" s="22"/>
      <c r="W53" s="22"/>
      <c r="X53" s="22"/>
      <c r="Y53" s="22"/>
      <c r="Z53" s="22"/>
      <c r="AA53" s="22"/>
      <c r="AB53" s="22"/>
      <c r="AC53" s="22"/>
      <c r="AD53" s="22"/>
      <c r="AE53" s="22"/>
      <c r="AF53" s="22"/>
      <c r="AG53" s="22"/>
      <c r="AH53" s="22"/>
      <c r="AI53" s="22"/>
      <c r="AJ53" s="22"/>
      <c r="AK53" s="22"/>
      <c r="AL53" s="22"/>
      <c r="AM53" s="22"/>
      <c r="AN53" s="22"/>
      <c r="AO53" s="22"/>
      <c r="AP53" s="22"/>
      <c r="AQ53" s="22"/>
      <c r="AR53" s="22"/>
      <c r="AS53" s="22"/>
      <c r="AT53" s="22"/>
      <c r="AU53" s="22"/>
      <c r="AV53" s="22"/>
      <c r="AW53" s="22"/>
      <c r="AX53" s="22"/>
      <c r="AY53" s="22"/>
      <c r="AZ53" s="22"/>
      <c r="BA53" s="22"/>
      <c r="BB53" s="22"/>
      <c r="BC53" s="22"/>
      <c r="BD53" s="22"/>
      <c r="BE53" s="22"/>
      <c r="BF53" s="22"/>
      <c r="BG53" s="22"/>
      <c r="BH53" s="22"/>
      <c r="BI53" s="22"/>
      <c r="BJ53" s="22"/>
      <c r="BK53" s="22"/>
      <c r="BL53" s="22"/>
      <c r="BM53" s="22"/>
      <c r="BN53" s="22"/>
      <c r="BO53" s="22"/>
      <c r="BP53" s="22"/>
      <c r="BQ53" s="22"/>
      <c r="BR53" s="22"/>
      <c r="BS53" s="22"/>
      <c r="BT53" s="22"/>
      <c r="BU53" s="22"/>
      <c r="BV53" s="22"/>
      <c r="BW53" s="22"/>
      <c r="BX53" s="22"/>
      <c r="BY53" s="22"/>
      <c r="BZ53" s="22"/>
      <c r="CA53" s="22"/>
      <c r="CB53" s="22"/>
      <c r="CC53" s="22"/>
      <c r="CD53" s="22"/>
      <c r="CE53" s="22"/>
      <c r="CF53" s="22"/>
      <c r="CG53" s="22"/>
      <c r="CH53" s="22"/>
      <c r="CI53" s="22"/>
      <c r="CJ53" s="22"/>
      <c r="CK53" s="22"/>
      <c r="CL53" s="22"/>
      <c r="CM53" s="22"/>
      <c r="CN53" s="22"/>
      <c r="CO53" s="22"/>
      <c r="CP53" s="22"/>
      <c r="CQ53" s="22"/>
      <c r="CR53" s="22"/>
      <c r="CS53" s="22"/>
      <c r="CT53" s="22"/>
      <c r="CU53" s="22"/>
      <c r="CV53" s="22"/>
      <c r="CW53" s="22"/>
      <c r="CX53" s="22"/>
      <c r="CY53" s="22"/>
      <c r="CZ53" s="22"/>
      <c r="DA53" s="22"/>
      <c r="DB53" s="22"/>
      <c r="DC53" s="22"/>
      <c r="DD53" s="22"/>
      <c r="DE53" s="22"/>
      <c r="DF53" s="22"/>
      <c r="DG53" s="22"/>
      <c r="DH53" s="22"/>
      <c r="DI53" s="22"/>
      <c r="DJ53" s="22"/>
      <c r="DK53" s="22"/>
      <c r="DL53" s="22"/>
      <c r="DM53" s="22"/>
      <c r="DN53" s="22"/>
      <c r="DO53" s="22"/>
      <c r="DP53" s="22"/>
      <c r="DQ53" s="22"/>
      <c r="DR53" s="22"/>
      <c r="DS53" s="22"/>
      <c r="DT53" s="22"/>
      <c r="DU53" s="22"/>
      <c r="DV53" s="22"/>
      <c r="DW53" s="22"/>
      <c r="DX53" s="22"/>
      <c r="DY53" s="22"/>
      <c r="DZ53" s="22"/>
      <c r="EA53" s="22"/>
      <c r="EB53" s="22"/>
      <c r="EC53" s="22"/>
      <c r="ED53" s="22"/>
      <c r="EE53" s="22"/>
      <c r="EF53" s="162">
        <f t="shared" ref="EF53:ER53" si="213">+EF31/EF50</f>
        <v>0.34782608695652173</v>
      </c>
      <c r="EG53" s="123">
        <f t="shared" si="213"/>
        <v>0.41666666666666669</v>
      </c>
      <c r="EH53" s="123">
        <f t="shared" si="213"/>
        <v>0.3125</v>
      </c>
      <c r="EI53" s="123">
        <f t="shared" si="213"/>
        <v>0.11764705882352941</v>
      </c>
      <c r="EJ53" s="123">
        <f t="shared" si="213"/>
        <v>0.16</v>
      </c>
      <c r="EK53" s="179">
        <f t="shared" si="213"/>
        <v>0.13636363636363635</v>
      </c>
      <c r="EL53" s="123">
        <f t="shared" si="213"/>
        <v>0.26315789473684209</v>
      </c>
      <c r="EM53" s="123">
        <f t="shared" si="213"/>
        <v>0.42307692307692307</v>
      </c>
      <c r="EN53" s="91">
        <f t="shared" si="213"/>
        <v>0.42857142857142855</v>
      </c>
      <c r="EO53" s="123">
        <f t="shared" si="213"/>
        <v>0.25</v>
      </c>
      <c r="EP53" s="123">
        <f t="shared" si="213"/>
        <v>0.22222222222222221</v>
      </c>
      <c r="EQ53" s="123">
        <f t="shared" si="213"/>
        <v>0.73809523809523814</v>
      </c>
      <c r="ER53" s="123">
        <f t="shared" si="213"/>
        <v>0.36842105263157893</v>
      </c>
      <c r="ES53" s="179">
        <f t="shared" ref="ES53:EZ53" si="214">+ES31/ES50</f>
        <v>0.66666666666666663</v>
      </c>
      <c r="ET53" s="123">
        <f t="shared" si="214"/>
        <v>0.5</v>
      </c>
      <c r="EU53" s="123">
        <f t="shared" si="214"/>
        <v>0.38461538461538464</v>
      </c>
      <c r="EV53" s="91">
        <f t="shared" si="214"/>
        <v>0.47826086956521741</v>
      </c>
      <c r="EW53" s="179">
        <f t="shared" si="214"/>
        <v>0.55555555555555558</v>
      </c>
      <c r="EX53" s="123">
        <f t="shared" si="214"/>
        <v>0.10526315789473684</v>
      </c>
      <c r="EY53" s="123">
        <f t="shared" si="214"/>
        <v>2.9411764705882353E-2</v>
      </c>
      <c r="EZ53" s="91">
        <f t="shared" si="214"/>
        <v>3.9215686274509803E-2</v>
      </c>
      <c r="FA53" s="179">
        <f t="shared" ref="FA53:FD53" si="215">+FA31/FA50</f>
        <v>0.14285714285714285</v>
      </c>
      <c r="FB53" s="123">
        <f t="shared" si="215"/>
        <v>5.8823529411764705E-2</v>
      </c>
      <c r="FC53" s="123">
        <f t="shared" si="215"/>
        <v>4.2553191489361701E-2</v>
      </c>
      <c r="FD53" s="91">
        <f t="shared" si="215"/>
        <v>4.3795620437956206E-2</v>
      </c>
      <c r="FE53" s="179">
        <f t="shared" ref="FE53:FH53" si="216">+FE31/FE50</f>
        <v>0.68421052631578949</v>
      </c>
      <c r="FF53" s="123">
        <f t="shared" si="216"/>
        <v>0</v>
      </c>
      <c r="FG53" s="123">
        <f t="shared" si="216"/>
        <v>0</v>
      </c>
      <c r="FH53" s="91">
        <f t="shared" si="216"/>
        <v>0</v>
      </c>
      <c r="FI53" s="179"/>
      <c r="FJ53" s="123"/>
      <c r="FK53" s="123"/>
      <c r="FL53" s="91"/>
      <c r="FM53" s="179"/>
      <c r="FN53" s="123"/>
      <c r="FO53" s="123"/>
      <c r="FP53" s="91"/>
      <c r="FQ53" s="22"/>
    </row>
    <row r="54" spans="1:183">
      <c r="A54" s="9" t="s">
        <v>1549</v>
      </c>
      <c r="B54" s="97"/>
      <c r="N54" s="22"/>
      <c r="O54" s="22"/>
      <c r="P54" s="22"/>
      <c r="Q54" s="22"/>
      <c r="R54" s="22"/>
      <c r="S54" s="22"/>
      <c r="T54" s="22"/>
      <c r="U54" s="22"/>
      <c r="V54" s="22"/>
      <c r="W54" s="22"/>
      <c r="X54" s="22"/>
      <c r="Y54" s="22"/>
      <c r="Z54" s="22"/>
      <c r="AA54" s="22"/>
      <c r="AB54" s="22"/>
      <c r="AC54" s="22"/>
      <c r="AD54" s="22"/>
      <c r="AE54" s="22"/>
      <c r="AF54" s="22"/>
      <c r="AG54" s="22"/>
      <c r="AH54" s="22"/>
      <c r="AI54" s="22"/>
      <c r="AJ54" s="22"/>
      <c r="AK54" s="22"/>
      <c r="AL54" s="22"/>
      <c r="AM54" s="22"/>
      <c r="AN54" s="22"/>
      <c r="AO54" s="22"/>
      <c r="AP54" s="22"/>
      <c r="AQ54" s="22"/>
      <c r="AR54" s="22"/>
      <c r="AS54" s="22"/>
      <c r="AT54" s="22"/>
      <c r="AU54" s="22"/>
      <c r="AV54" s="22"/>
      <c r="AW54" s="22"/>
      <c r="AX54" s="22"/>
      <c r="AY54" s="22"/>
      <c r="AZ54" s="22"/>
      <c r="BA54" s="22"/>
      <c r="BB54" s="22"/>
      <c r="BC54" s="22"/>
      <c r="BD54" s="22"/>
      <c r="BE54" s="22"/>
      <c r="BF54" s="22"/>
      <c r="BG54" s="22"/>
      <c r="BH54" s="22"/>
      <c r="BI54" s="22"/>
      <c r="BJ54" s="22"/>
      <c r="BK54" s="22"/>
      <c r="BL54" s="22"/>
      <c r="BM54" s="22"/>
      <c r="BN54" s="22"/>
      <c r="BO54" s="22"/>
      <c r="BP54" s="22"/>
      <c r="BQ54" s="22"/>
      <c r="BR54" s="22"/>
      <c r="BS54" s="22"/>
      <c r="BT54" s="22"/>
      <c r="BU54" s="22"/>
      <c r="BV54" s="22"/>
      <c r="BW54" s="22"/>
      <c r="BX54" s="22"/>
      <c r="BY54" s="22"/>
      <c r="BZ54" s="22"/>
      <c r="CA54" s="22"/>
      <c r="CB54" s="22"/>
      <c r="CC54" s="22"/>
      <c r="CD54" s="22"/>
      <c r="CE54" s="22"/>
      <c r="CF54" s="22"/>
      <c r="CG54" s="22"/>
      <c r="CH54" s="22"/>
      <c r="CI54" s="22"/>
      <c r="CJ54" s="22"/>
      <c r="CK54" s="22"/>
      <c r="CL54" s="22"/>
      <c r="CM54" s="22"/>
      <c r="CN54" s="22"/>
      <c r="CO54" s="22"/>
      <c r="CP54" s="22"/>
      <c r="CQ54" s="22"/>
      <c r="CR54" s="22"/>
      <c r="CS54" s="22"/>
      <c r="CT54" s="22"/>
      <c r="CU54" s="22"/>
      <c r="CV54" s="22"/>
      <c r="CW54" s="22"/>
      <c r="CX54" s="22"/>
      <c r="CY54" s="22"/>
      <c r="CZ54" s="22"/>
      <c r="DA54" s="22"/>
      <c r="DB54" s="22"/>
      <c r="DC54" s="22"/>
      <c r="DD54" s="22"/>
      <c r="DE54" s="22"/>
      <c r="DF54" s="22"/>
      <c r="DG54" s="22"/>
      <c r="DH54" s="22"/>
      <c r="DI54" s="22"/>
      <c r="DJ54" s="22"/>
      <c r="DK54" s="22"/>
      <c r="DL54" s="22"/>
      <c r="DM54" s="22"/>
      <c r="DN54" s="22"/>
      <c r="DO54" s="22"/>
      <c r="DP54" s="22"/>
      <c r="DQ54" s="22"/>
      <c r="DR54" s="22"/>
      <c r="DS54" s="22"/>
      <c r="DT54" s="22"/>
      <c r="DU54" s="22"/>
      <c r="DV54" s="22"/>
      <c r="DW54" s="22"/>
      <c r="DX54" s="22"/>
      <c r="DY54" s="22"/>
      <c r="DZ54" s="22"/>
      <c r="EA54" s="22"/>
      <c r="EB54" s="22"/>
      <c r="EC54" s="22"/>
      <c r="ED54" s="22"/>
      <c r="EE54" s="22"/>
      <c r="EF54" s="163">
        <f t="shared" ref="EF54:ER54" si="217">+EF41/EF50</f>
        <v>0</v>
      </c>
      <c r="EG54" s="143">
        <f t="shared" si="217"/>
        <v>4.1666666666666664E-2</v>
      </c>
      <c r="EH54" s="143">
        <f t="shared" si="217"/>
        <v>0</v>
      </c>
      <c r="EI54" s="143">
        <f t="shared" si="217"/>
        <v>0</v>
      </c>
      <c r="EJ54" s="143">
        <f t="shared" si="217"/>
        <v>0.04</v>
      </c>
      <c r="EK54" s="180">
        <f t="shared" si="217"/>
        <v>0</v>
      </c>
      <c r="EL54" s="143">
        <f t="shared" si="217"/>
        <v>0.10526315789473684</v>
      </c>
      <c r="EM54" s="143">
        <f t="shared" si="217"/>
        <v>0.23076923076923078</v>
      </c>
      <c r="EN54" s="27">
        <f t="shared" si="217"/>
        <v>7.1428571428571425E-2</v>
      </c>
      <c r="EO54" s="143">
        <f t="shared" si="217"/>
        <v>0.25</v>
      </c>
      <c r="EP54" s="143">
        <f t="shared" si="217"/>
        <v>0</v>
      </c>
      <c r="EQ54" s="143">
        <f t="shared" si="217"/>
        <v>4.7619047619047616E-2</v>
      </c>
      <c r="ER54" s="143">
        <f t="shared" si="217"/>
        <v>0</v>
      </c>
      <c r="ES54" s="180">
        <f t="shared" ref="ES54:EZ54" si="218">+ES41/ES50</f>
        <v>4.7619047619047616E-2</v>
      </c>
      <c r="ET54" s="143">
        <f t="shared" si="218"/>
        <v>0.27777777777777779</v>
      </c>
      <c r="EU54" s="143">
        <f t="shared" si="218"/>
        <v>0.38461538461538464</v>
      </c>
      <c r="EV54" s="27">
        <f t="shared" si="218"/>
        <v>4.3478260869565216E-2</v>
      </c>
      <c r="EW54" s="180">
        <f t="shared" si="218"/>
        <v>8.3333333333333329E-2</v>
      </c>
      <c r="EX54" s="143">
        <f t="shared" si="218"/>
        <v>5.2631578947368418E-2</v>
      </c>
      <c r="EY54" s="143">
        <f t="shared" si="218"/>
        <v>2.9411764705882353E-2</v>
      </c>
      <c r="EZ54" s="27">
        <f t="shared" si="218"/>
        <v>3.9215686274509803E-2</v>
      </c>
      <c r="FA54" s="180">
        <f t="shared" ref="FA54:FD54" si="219">+FA41/FA50</f>
        <v>0</v>
      </c>
      <c r="FB54" s="143">
        <f t="shared" si="219"/>
        <v>0.11764705882352941</v>
      </c>
      <c r="FC54" s="143">
        <f t="shared" si="219"/>
        <v>0</v>
      </c>
      <c r="FD54" s="27">
        <f t="shared" si="219"/>
        <v>0</v>
      </c>
      <c r="FE54" s="180">
        <f t="shared" ref="FE54:FH54" si="220">+FE41/FE50</f>
        <v>0.10526315789473684</v>
      </c>
      <c r="FF54" s="143">
        <f t="shared" si="220"/>
        <v>0</v>
      </c>
      <c r="FG54" s="143">
        <f t="shared" si="220"/>
        <v>0</v>
      </c>
      <c r="FH54" s="27">
        <f t="shared" si="220"/>
        <v>0</v>
      </c>
      <c r="FI54" s="180"/>
      <c r="FJ54" s="143"/>
      <c r="FK54" s="143"/>
      <c r="FL54" s="27"/>
      <c r="FM54" s="180"/>
      <c r="FN54" s="143"/>
      <c r="FO54" s="143"/>
      <c r="FP54" s="27"/>
      <c r="FQ54" s="22"/>
    </row>
    <row r="55" spans="1:183">
      <c r="A55" s="22"/>
      <c r="B55" s="97"/>
      <c r="N55" s="22"/>
      <c r="O55" s="22"/>
      <c r="P55" s="22"/>
      <c r="Q55" s="22"/>
      <c r="R55" s="22"/>
      <c r="S55" s="22"/>
      <c r="T55" s="22"/>
      <c r="U55" s="22"/>
      <c r="V55" s="22"/>
      <c r="W55" s="22"/>
      <c r="X55" s="22"/>
      <c r="Y55" s="22"/>
      <c r="Z55" s="22"/>
      <c r="AA55" s="22"/>
      <c r="AB55" s="22"/>
      <c r="AC55" s="22"/>
      <c r="AD55" s="22"/>
      <c r="AE55" s="22"/>
      <c r="AF55" s="22"/>
      <c r="AG55" s="22"/>
      <c r="AH55" s="22"/>
      <c r="AI55" s="22"/>
      <c r="AJ55" s="22"/>
      <c r="AK55" s="22"/>
      <c r="AL55" s="22"/>
      <c r="AM55" s="22"/>
      <c r="AN55" s="22"/>
      <c r="AO55" s="22"/>
      <c r="AP55" s="22"/>
      <c r="AQ55" s="22"/>
      <c r="AR55" s="22"/>
      <c r="AS55" s="22"/>
      <c r="AT55" s="22"/>
      <c r="AU55" s="22"/>
      <c r="AV55" s="22"/>
      <c r="AW55" s="22"/>
      <c r="AX55" s="22"/>
      <c r="AY55" s="22"/>
      <c r="AZ55" s="22"/>
      <c r="BA55" s="22"/>
      <c r="BB55" s="22"/>
      <c r="BC55" s="22"/>
      <c r="BD55" s="22"/>
      <c r="BE55" s="22"/>
      <c r="BF55" s="22"/>
      <c r="BG55" s="22"/>
      <c r="BH55" s="22"/>
      <c r="BI55" s="22"/>
      <c r="BJ55" s="22"/>
      <c r="BK55" s="22"/>
      <c r="BL55" s="22"/>
      <c r="BM55" s="22"/>
      <c r="BN55" s="22"/>
      <c r="BO55" s="22"/>
      <c r="BP55" s="22"/>
      <c r="BQ55" s="22"/>
      <c r="BR55" s="22"/>
      <c r="BS55" s="22"/>
      <c r="BT55" s="22"/>
      <c r="BU55" s="22"/>
      <c r="BV55" s="22"/>
      <c r="BW55" s="22"/>
      <c r="BX55" s="22"/>
      <c r="BY55" s="22"/>
      <c r="BZ55" s="22"/>
      <c r="CA55" s="22"/>
      <c r="CB55" s="22"/>
      <c r="CC55" s="22"/>
      <c r="CD55" s="22"/>
      <c r="CE55" s="22"/>
      <c r="CF55" s="22"/>
      <c r="CG55" s="22"/>
      <c r="CH55" s="22"/>
      <c r="CI55" s="22"/>
      <c r="CJ55" s="22"/>
      <c r="CK55" s="22"/>
      <c r="CL55" s="22"/>
      <c r="CM55" s="22"/>
      <c r="CN55" s="22"/>
      <c r="CO55" s="22"/>
      <c r="CP55" s="22"/>
      <c r="CQ55" s="22"/>
      <c r="CR55" s="22"/>
      <c r="CS55" s="22"/>
      <c r="CT55" s="22"/>
      <c r="CU55" s="22"/>
      <c r="CV55" s="22"/>
      <c r="CW55" s="22"/>
      <c r="CX55" s="22"/>
      <c r="CY55" s="22"/>
      <c r="CZ55" s="22"/>
      <c r="DA55" s="22"/>
      <c r="DB55" s="22"/>
      <c r="DC55" s="22"/>
      <c r="DD55" s="22"/>
      <c r="DE55" s="22"/>
      <c r="DF55" s="22"/>
      <c r="DG55" s="22"/>
      <c r="DH55" s="22"/>
      <c r="DI55" s="22"/>
      <c r="DJ55" s="22"/>
      <c r="DK55" s="22"/>
      <c r="DL55" s="22"/>
      <c r="DM55" s="22"/>
      <c r="DN55" s="22"/>
      <c r="DO55" s="22"/>
      <c r="DP55" s="22"/>
      <c r="DQ55" s="22"/>
      <c r="DR55" s="22"/>
      <c r="DS55" s="22"/>
      <c r="DT55" s="22"/>
      <c r="DU55" s="22"/>
      <c r="DV55" s="22"/>
      <c r="DW55" s="22"/>
      <c r="DX55" s="22"/>
      <c r="DY55" s="22"/>
      <c r="DZ55" s="22"/>
      <c r="EA55" s="22"/>
      <c r="EB55" s="22"/>
      <c r="EC55" s="22"/>
      <c r="ED55" s="22"/>
      <c r="EE55" s="22"/>
      <c r="EF55" s="22"/>
      <c r="EG55" s="22"/>
      <c r="EH55" s="22"/>
      <c r="EI55" s="22"/>
      <c r="EJ55" s="22"/>
      <c r="EK55" s="22"/>
      <c r="EL55" s="22"/>
      <c r="EM55" s="22"/>
      <c r="EN55" s="22"/>
      <c r="EO55" s="22"/>
      <c r="EP55" s="22"/>
      <c r="EQ55" s="22"/>
      <c r="ER55" s="22"/>
      <c r="ES55" s="22"/>
      <c r="ET55" s="22"/>
      <c r="EU55" s="22"/>
      <c r="EV55" s="22"/>
      <c r="EW55" s="22"/>
      <c r="EY55" s="22"/>
      <c r="EZ55" s="22"/>
      <c r="FA55" s="22"/>
      <c r="FB55" s="22"/>
      <c r="FC55" s="22"/>
      <c r="FD55" s="22"/>
      <c r="FE55" s="22"/>
      <c r="FF55" s="22"/>
      <c r="FG55" s="22"/>
      <c r="FH55" s="22"/>
      <c r="FI55" s="22"/>
      <c r="FJ55" s="22"/>
      <c r="FK55" s="22"/>
      <c r="FL55" s="22"/>
      <c r="FM55" s="22"/>
      <c r="FN55" s="22"/>
      <c r="FO55" s="22"/>
      <c r="FP55" s="22"/>
      <c r="FQ55" s="22"/>
      <c r="FR55" s="22"/>
    </row>
    <row r="56" spans="1:183" ht="13.9" customHeight="1">
      <c r="A56" s="23"/>
      <c r="B56" s="97"/>
      <c r="C56" s="22"/>
      <c r="D56" s="22"/>
      <c r="E56" s="22"/>
      <c r="F56" s="22"/>
      <c r="G56" s="22"/>
      <c r="H56" s="22"/>
      <c r="I56" s="22"/>
      <c r="J56" s="22"/>
      <c r="K56" s="22"/>
      <c r="L56" s="22"/>
      <c r="M56" s="22"/>
      <c r="N56" s="123"/>
      <c r="O56" s="123"/>
      <c r="P56" s="123"/>
      <c r="Q56" s="123"/>
      <c r="R56" s="123"/>
      <c r="S56" s="123"/>
      <c r="T56" s="123"/>
      <c r="U56" s="123"/>
      <c r="V56" s="123"/>
      <c r="W56" s="123"/>
      <c r="X56" s="123"/>
      <c r="Y56" s="123"/>
      <c r="Z56" s="123"/>
      <c r="AA56" s="123"/>
      <c r="AB56" s="123"/>
      <c r="AC56" s="123"/>
      <c r="AD56" s="123"/>
      <c r="AE56" s="123"/>
      <c r="AF56" s="123"/>
      <c r="AG56" s="123"/>
      <c r="AH56" s="123"/>
      <c r="AI56" s="123"/>
      <c r="AJ56" s="123"/>
      <c r="AK56" s="123"/>
      <c r="AL56" s="123"/>
      <c r="AM56" s="123"/>
      <c r="AN56" s="123"/>
      <c r="AO56" s="123"/>
      <c r="AP56" s="123"/>
      <c r="AQ56" s="123"/>
      <c r="AR56" s="123"/>
      <c r="AS56" s="123"/>
      <c r="AT56" s="123"/>
      <c r="AU56" s="123"/>
      <c r="AV56" s="123"/>
      <c r="AW56" s="123"/>
      <c r="AX56" s="123"/>
      <c r="AY56" s="123"/>
      <c r="AZ56" s="123"/>
      <c r="BA56" s="123"/>
      <c r="BB56" s="123"/>
      <c r="BC56" s="123"/>
      <c r="BD56" s="123"/>
      <c r="BE56" s="123"/>
      <c r="BF56" s="123"/>
      <c r="BG56" s="123"/>
      <c r="BH56" s="123"/>
      <c r="BI56" s="123"/>
      <c r="BJ56" s="123"/>
      <c r="BK56" s="123"/>
      <c r="BL56" s="123"/>
      <c r="BM56" s="123"/>
      <c r="BN56" s="123"/>
      <c r="BO56" s="123"/>
      <c r="BP56" s="123"/>
      <c r="BQ56" s="123"/>
      <c r="BR56" s="123"/>
      <c r="BS56" s="123"/>
      <c r="BT56" s="123"/>
      <c r="BU56" s="123"/>
      <c r="BV56" s="123"/>
      <c r="BW56" s="123"/>
      <c r="BX56" s="123"/>
      <c r="BY56" s="123"/>
      <c r="BZ56" s="123"/>
      <c r="CA56" s="123"/>
      <c r="CB56" s="123"/>
      <c r="CC56" s="123"/>
      <c r="CD56" s="123"/>
      <c r="CE56" s="123"/>
      <c r="CF56" s="123"/>
      <c r="CG56" s="123"/>
      <c r="CH56" s="123"/>
      <c r="CI56" s="123"/>
      <c r="CJ56" s="123"/>
      <c r="CK56" s="123"/>
      <c r="CL56" s="123"/>
      <c r="CM56" s="123"/>
      <c r="CN56" s="123"/>
      <c r="CO56" s="123"/>
      <c r="CP56" s="123"/>
      <c r="CQ56" s="123"/>
      <c r="CR56" s="123"/>
      <c r="CS56" s="123"/>
      <c r="CT56" s="123"/>
      <c r="CU56" s="123"/>
      <c r="CV56" s="123"/>
      <c r="CW56" s="123"/>
      <c r="CX56" s="123"/>
      <c r="CY56" s="123"/>
      <c r="CZ56" s="123"/>
      <c r="DA56" s="123"/>
      <c r="DB56" s="123"/>
      <c r="DC56" s="123"/>
      <c r="DD56" s="123"/>
      <c r="DE56" s="123"/>
      <c r="DF56" s="123"/>
      <c r="DG56" s="123"/>
      <c r="DH56" s="123"/>
      <c r="DI56" s="123"/>
      <c r="DJ56" s="123"/>
      <c r="DK56" s="123"/>
      <c r="DL56" s="123"/>
      <c r="DM56" s="123"/>
      <c r="DN56" s="123"/>
      <c r="DO56" s="123"/>
      <c r="DP56" s="123"/>
      <c r="DQ56" s="123"/>
      <c r="DR56" s="123"/>
      <c r="DS56" s="123"/>
      <c r="DT56" s="123"/>
      <c r="DU56" s="123"/>
      <c r="DV56" s="123"/>
      <c r="DW56" s="123"/>
      <c r="DX56" s="123"/>
      <c r="DY56" s="123"/>
      <c r="DZ56" s="123"/>
      <c r="EA56" s="123"/>
      <c r="EB56" s="123"/>
      <c r="EC56" s="123"/>
      <c r="ED56" s="123"/>
      <c r="EE56" s="123"/>
      <c r="EF56" s="123"/>
      <c r="EG56" s="123"/>
      <c r="EH56" s="123"/>
      <c r="EI56" s="123"/>
      <c r="EJ56" s="123"/>
      <c r="EK56" s="123"/>
      <c r="EL56" s="123"/>
      <c r="EM56" s="123"/>
      <c r="EN56" s="123"/>
      <c r="EO56" s="123"/>
      <c r="EP56" s="22"/>
      <c r="EQ56" s="22"/>
      <c r="ER56" s="22"/>
      <c r="ES56" s="22"/>
      <c r="ET56" s="22"/>
      <c r="EU56" s="22"/>
      <c r="EV56" s="22"/>
      <c r="EW56" s="22"/>
    </row>
    <row r="57" spans="1:183" ht="13.9" customHeight="1">
      <c r="A57" s="558" t="s">
        <v>3950</v>
      </c>
      <c r="B57" s="97"/>
      <c r="C57" s="22"/>
      <c r="D57" s="22"/>
      <c r="E57" s="22"/>
      <c r="F57" s="22"/>
      <c r="G57" s="22"/>
      <c r="H57" s="22"/>
      <c r="I57" s="22"/>
      <c r="J57" s="22"/>
      <c r="K57" s="22"/>
      <c r="L57" s="22"/>
      <c r="M57" s="22"/>
      <c r="N57" s="123"/>
      <c r="O57" s="123"/>
      <c r="P57" s="123"/>
      <c r="Q57" s="123"/>
      <c r="R57" s="123"/>
      <c r="S57" s="123"/>
      <c r="T57" s="123"/>
      <c r="U57" s="123"/>
      <c r="V57" s="123"/>
      <c r="W57" s="123"/>
      <c r="X57" s="123"/>
      <c r="Y57" s="123"/>
      <c r="Z57" s="123"/>
      <c r="AA57" s="123"/>
      <c r="AB57" s="123"/>
      <c r="AC57" s="123"/>
      <c r="AD57" s="123"/>
      <c r="AE57" s="123"/>
      <c r="AF57" s="123"/>
      <c r="AG57" s="123"/>
      <c r="AH57" s="123"/>
      <c r="AI57" s="123"/>
      <c r="AJ57" s="123"/>
      <c r="AK57" s="123"/>
      <c r="AL57" s="123"/>
      <c r="AM57" s="123"/>
      <c r="AN57" s="123"/>
      <c r="AO57" s="123"/>
      <c r="AP57" s="123"/>
      <c r="AQ57" s="123"/>
      <c r="AR57" s="123"/>
      <c r="AS57" s="123"/>
      <c r="AT57" s="123"/>
      <c r="AU57" s="123"/>
      <c r="AV57" s="123"/>
      <c r="AW57" s="123"/>
      <c r="AX57" s="123"/>
      <c r="AY57" s="123"/>
      <c r="AZ57" s="123"/>
      <c r="BA57" s="123"/>
      <c r="BB57" s="123"/>
      <c r="BC57" s="123"/>
      <c r="BD57" s="123"/>
      <c r="BE57" s="123"/>
      <c r="BF57" s="123"/>
      <c r="BG57" s="123"/>
      <c r="BH57" s="123"/>
      <c r="BI57" s="123"/>
      <c r="BJ57" s="123"/>
      <c r="BK57" s="123"/>
      <c r="BL57" s="123"/>
      <c r="BM57" s="123"/>
      <c r="BN57" s="123"/>
      <c r="BO57" s="123"/>
      <c r="BP57" s="123"/>
      <c r="BQ57" s="123"/>
      <c r="BR57" s="123"/>
      <c r="BS57" s="123"/>
      <c r="BT57" s="123"/>
      <c r="BU57" s="123"/>
      <c r="BV57" s="123"/>
      <c r="BW57" s="123"/>
      <c r="BX57" s="123"/>
      <c r="BY57" s="123"/>
      <c r="BZ57" s="123"/>
      <c r="CA57" s="123"/>
      <c r="CB57" s="123"/>
      <c r="CC57" s="123"/>
      <c r="CD57" s="123"/>
      <c r="CE57" s="123"/>
      <c r="CF57" s="123"/>
      <c r="CG57" s="123"/>
      <c r="CH57" s="123"/>
      <c r="CI57" s="123"/>
      <c r="CJ57" s="123"/>
      <c r="CK57" s="123"/>
      <c r="CL57" s="123"/>
      <c r="CM57" s="123"/>
      <c r="CN57" s="123"/>
      <c r="CO57" s="123"/>
      <c r="CP57" s="123"/>
      <c r="CQ57" s="123"/>
      <c r="CR57" s="123"/>
      <c r="CS57" s="123"/>
      <c r="CT57" s="123"/>
      <c r="CU57" s="123"/>
      <c r="CV57" s="123"/>
      <c r="CW57" s="123"/>
      <c r="CX57" s="123"/>
      <c r="CY57" s="123"/>
      <c r="CZ57" s="123"/>
      <c r="DA57" s="123"/>
      <c r="DB57" s="123"/>
      <c r="DC57" s="123"/>
      <c r="DD57" s="123"/>
      <c r="DE57" s="123"/>
      <c r="DF57" s="123"/>
      <c r="DG57" s="123"/>
      <c r="DH57" s="123"/>
      <c r="DI57" s="123"/>
      <c r="DJ57" s="123"/>
      <c r="DK57" s="123"/>
      <c r="DL57" s="123"/>
      <c r="DM57" s="123"/>
      <c r="DN57" s="123"/>
      <c r="DO57" s="123"/>
      <c r="DP57" s="123"/>
      <c r="DQ57" s="123"/>
      <c r="DR57" s="123"/>
      <c r="DS57" s="123"/>
      <c r="DT57" s="123"/>
      <c r="DU57" s="123"/>
      <c r="DV57" s="123"/>
      <c r="DW57" s="123"/>
      <c r="DX57" s="123"/>
      <c r="DY57" s="123"/>
      <c r="DZ57" s="123"/>
      <c r="EA57" s="123"/>
      <c r="EB57" s="123"/>
      <c r="EC57" s="123"/>
      <c r="EE57" s="123"/>
    </row>
    <row r="58" spans="1:183" ht="13.9" customHeight="1">
      <c r="A58" s="99" t="s">
        <v>849</v>
      </c>
      <c r="B58" s="35" t="s">
        <v>622</v>
      </c>
      <c r="C58" s="108"/>
      <c r="D58" s="108"/>
      <c r="E58" s="108"/>
      <c r="F58" s="108"/>
      <c r="G58" s="108"/>
      <c r="H58" s="108"/>
      <c r="I58" s="108"/>
      <c r="J58" s="108"/>
      <c r="K58" s="108"/>
      <c r="L58" s="108"/>
      <c r="M58" s="108"/>
      <c r="N58" s="919">
        <f t="shared" ref="N58:AW58" si="221">++N1</f>
        <v>38718</v>
      </c>
      <c r="O58" s="919">
        <f t="shared" si="221"/>
        <v>38749</v>
      </c>
      <c r="P58" s="919">
        <f t="shared" si="221"/>
        <v>38777</v>
      </c>
      <c r="Q58" s="919">
        <f t="shared" si="221"/>
        <v>38808</v>
      </c>
      <c r="R58" s="919">
        <f t="shared" si="221"/>
        <v>38838</v>
      </c>
      <c r="S58" s="919">
        <f t="shared" si="221"/>
        <v>38869</v>
      </c>
      <c r="T58" s="919">
        <f t="shared" si="221"/>
        <v>38899</v>
      </c>
      <c r="U58" s="919">
        <f t="shared" si="221"/>
        <v>38930</v>
      </c>
      <c r="V58" s="919">
        <f t="shared" si="221"/>
        <v>38961</v>
      </c>
      <c r="W58" s="919">
        <f t="shared" si="221"/>
        <v>38991</v>
      </c>
      <c r="X58" s="919">
        <f t="shared" si="221"/>
        <v>39022</v>
      </c>
      <c r="Y58" s="919">
        <f t="shared" si="221"/>
        <v>39052</v>
      </c>
      <c r="Z58" s="919">
        <f t="shared" si="221"/>
        <v>39083</v>
      </c>
      <c r="AA58" s="919">
        <f t="shared" si="221"/>
        <v>39114</v>
      </c>
      <c r="AB58" s="919">
        <f t="shared" si="221"/>
        <v>39142</v>
      </c>
      <c r="AC58" s="919">
        <f t="shared" si="221"/>
        <v>39173</v>
      </c>
      <c r="AD58" s="919">
        <f t="shared" si="221"/>
        <v>39203</v>
      </c>
      <c r="AE58" s="919">
        <f t="shared" si="221"/>
        <v>39234</v>
      </c>
      <c r="AF58" s="919">
        <f t="shared" si="221"/>
        <v>39264</v>
      </c>
      <c r="AG58" s="919">
        <f t="shared" si="221"/>
        <v>39295</v>
      </c>
      <c r="AH58" s="919">
        <f t="shared" si="221"/>
        <v>39326</v>
      </c>
      <c r="AI58" s="919">
        <f t="shared" si="221"/>
        <v>39356</v>
      </c>
      <c r="AJ58" s="919">
        <f t="shared" si="221"/>
        <v>39387</v>
      </c>
      <c r="AK58" s="919">
        <f t="shared" si="221"/>
        <v>39417</v>
      </c>
      <c r="AL58" s="919">
        <f t="shared" si="221"/>
        <v>39448</v>
      </c>
      <c r="AM58" s="919">
        <f t="shared" si="221"/>
        <v>39479</v>
      </c>
      <c r="AN58" s="919">
        <f t="shared" si="221"/>
        <v>39508</v>
      </c>
      <c r="AO58" s="919">
        <f t="shared" si="221"/>
        <v>39539</v>
      </c>
      <c r="AP58" s="919">
        <f t="shared" si="221"/>
        <v>39569</v>
      </c>
      <c r="AQ58" s="919">
        <f t="shared" si="221"/>
        <v>39600</v>
      </c>
      <c r="AR58" s="919">
        <f t="shared" si="221"/>
        <v>39630</v>
      </c>
      <c r="AS58" s="919">
        <f t="shared" si="221"/>
        <v>39661</v>
      </c>
      <c r="AT58" s="919">
        <f t="shared" si="221"/>
        <v>39692</v>
      </c>
      <c r="AU58" s="919">
        <f t="shared" si="221"/>
        <v>39722</v>
      </c>
      <c r="AV58" s="919">
        <f t="shared" si="221"/>
        <v>39753</v>
      </c>
      <c r="AW58" s="919">
        <f t="shared" si="221"/>
        <v>39783</v>
      </c>
      <c r="AX58" s="918">
        <f t="shared" ref="AX58:BU58" si="222">++AX1</f>
        <v>39814</v>
      </c>
      <c r="AY58" s="919">
        <f t="shared" si="222"/>
        <v>39845</v>
      </c>
      <c r="AZ58" s="919">
        <f t="shared" si="222"/>
        <v>39873</v>
      </c>
      <c r="BA58" s="919">
        <f t="shared" si="222"/>
        <v>39904</v>
      </c>
      <c r="BB58" s="919">
        <f t="shared" si="222"/>
        <v>39934</v>
      </c>
      <c r="BC58" s="919">
        <f t="shared" si="222"/>
        <v>39965</v>
      </c>
      <c r="BD58" s="919">
        <f t="shared" si="222"/>
        <v>39995</v>
      </c>
      <c r="BE58" s="919">
        <f t="shared" si="222"/>
        <v>40026</v>
      </c>
      <c r="BF58" s="919">
        <f t="shared" si="222"/>
        <v>40057</v>
      </c>
      <c r="BG58" s="919">
        <f t="shared" si="222"/>
        <v>40087</v>
      </c>
      <c r="BH58" s="919">
        <f t="shared" si="222"/>
        <v>40118</v>
      </c>
      <c r="BI58" s="920">
        <f t="shared" si="222"/>
        <v>40148</v>
      </c>
      <c r="BJ58" s="919">
        <f t="shared" si="222"/>
        <v>40179</v>
      </c>
      <c r="BK58" s="919">
        <f t="shared" si="222"/>
        <v>40210</v>
      </c>
      <c r="BL58" s="919">
        <f t="shared" si="222"/>
        <v>40238</v>
      </c>
      <c r="BM58" s="919">
        <f t="shared" si="222"/>
        <v>40269</v>
      </c>
      <c r="BN58" s="919">
        <f t="shared" si="222"/>
        <v>40299</v>
      </c>
      <c r="BO58" s="919">
        <f t="shared" si="222"/>
        <v>40330</v>
      </c>
      <c r="BP58" s="919">
        <f t="shared" si="222"/>
        <v>40360</v>
      </c>
      <c r="BQ58" s="919">
        <f t="shared" si="222"/>
        <v>40391</v>
      </c>
      <c r="BR58" s="919">
        <f t="shared" si="222"/>
        <v>40422</v>
      </c>
      <c r="BS58" s="919">
        <f t="shared" si="222"/>
        <v>40452</v>
      </c>
      <c r="BT58" s="919">
        <f t="shared" si="222"/>
        <v>40483</v>
      </c>
      <c r="BU58" s="920">
        <f t="shared" si="222"/>
        <v>40513</v>
      </c>
      <c r="BV58" s="919">
        <f t="shared" ref="BV58:CG58" si="223">++BV1</f>
        <v>40544</v>
      </c>
      <c r="BW58" s="919">
        <f t="shared" si="223"/>
        <v>40575</v>
      </c>
      <c r="BX58" s="919">
        <f t="shared" si="223"/>
        <v>40603</v>
      </c>
      <c r="BY58" s="919">
        <f t="shared" si="223"/>
        <v>40634</v>
      </c>
      <c r="BZ58" s="919">
        <f t="shared" si="223"/>
        <v>40664</v>
      </c>
      <c r="CA58" s="919">
        <f t="shared" si="223"/>
        <v>40695</v>
      </c>
      <c r="CB58" s="919">
        <f t="shared" si="223"/>
        <v>40725</v>
      </c>
      <c r="CC58" s="919">
        <f t="shared" si="223"/>
        <v>40756</v>
      </c>
      <c r="CD58" s="919">
        <f t="shared" si="223"/>
        <v>40787</v>
      </c>
      <c r="CE58" s="919">
        <f t="shared" si="223"/>
        <v>40817</v>
      </c>
      <c r="CF58" s="919">
        <f t="shared" si="223"/>
        <v>40848</v>
      </c>
      <c r="CG58" s="919">
        <f t="shared" si="223"/>
        <v>40878</v>
      </c>
      <c r="CH58" s="921">
        <v>40909</v>
      </c>
      <c r="CI58" s="922">
        <v>40940</v>
      </c>
      <c r="CJ58" s="922">
        <v>40969</v>
      </c>
      <c r="CK58" s="922">
        <v>41000</v>
      </c>
      <c r="CL58" s="922">
        <v>41030</v>
      </c>
      <c r="CM58" s="922">
        <v>41061</v>
      </c>
      <c r="CN58" s="922">
        <v>41091</v>
      </c>
      <c r="CO58" s="922">
        <v>41122</v>
      </c>
      <c r="CP58" s="922">
        <v>41153</v>
      </c>
      <c r="CQ58" s="922">
        <v>41183</v>
      </c>
      <c r="CR58" s="922">
        <v>41214</v>
      </c>
      <c r="CS58" s="922">
        <v>41244</v>
      </c>
      <c r="CT58" s="918">
        <v>41275</v>
      </c>
      <c r="CU58" s="919">
        <v>41306</v>
      </c>
      <c r="CV58" s="919">
        <v>41334</v>
      </c>
      <c r="CW58" s="919">
        <v>41365</v>
      </c>
      <c r="CX58" s="919">
        <v>41395</v>
      </c>
      <c r="CY58" s="919">
        <v>41426</v>
      </c>
      <c r="CZ58" s="919">
        <v>41456</v>
      </c>
      <c r="DA58" s="919">
        <v>41487</v>
      </c>
      <c r="DB58" s="919">
        <v>41518</v>
      </c>
      <c r="DC58" s="919">
        <v>41548</v>
      </c>
      <c r="DD58" s="919">
        <v>41579</v>
      </c>
      <c r="DE58" s="920">
        <v>41609</v>
      </c>
      <c r="DF58" s="918">
        <v>41640</v>
      </c>
      <c r="DG58" s="919">
        <v>41671</v>
      </c>
      <c r="DH58" s="919">
        <v>41699</v>
      </c>
      <c r="DI58" s="919">
        <v>41730</v>
      </c>
      <c r="DJ58" s="919">
        <v>41760</v>
      </c>
      <c r="DK58" s="919">
        <v>41791</v>
      </c>
      <c r="DL58" s="919">
        <v>41821</v>
      </c>
      <c r="DM58" s="919">
        <v>41852</v>
      </c>
      <c r="DN58" s="919">
        <v>41883</v>
      </c>
      <c r="DO58" s="919">
        <v>41913</v>
      </c>
      <c r="DP58" s="919">
        <v>41944</v>
      </c>
      <c r="DQ58" s="920">
        <v>41974</v>
      </c>
      <c r="DR58" s="918">
        <v>42005</v>
      </c>
      <c r="DS58" s="919">
        <v>42036</v>
      </c>
      <c r="DT58" s="919">
        <v>42064</v>
      </c>
      <c r="DU58" s="919">
        <v>42095</v>
      </c>
      <c r="DV58" s="919">
        <v>42125</v>
      </c>
      <c r="DW58" s="919">
        <v>42156</v>
      </c>
      <c r="DX58" s="919">
        <v>42186</v>
      </c>
      <c r="DY58" s="919">
        <v>42217</v>
      </c>
      <c r="DZ58" s="919">
        <v>42248</v>
      </c>
      <c r="EA58" s="919">
        <v>42278</v>
      </c>
      <c r="EB58" s="919">
        <v>42309</v>
      </c>
      <c r="EC58" s="920">
        <v>42339</v>
      </c>
      <c r="ED58" s="35" t="s">
        <v>974</v>
      </c>
    </row>
    <row r="59" spans="1:183" ht="13.9" customHeight="1">
      <c r="A59" s="36" t="s">
        <v>625</v>
      </c>
      <c r="B59" s="257"/>
      <c r="C59" s="1">
        <v>0</v>
      </c>
      <c r="D59" s="1">
        <v>0</v>
      </c>
      <c r="E59" s="1">
        <v>0</v>
      </c>
      <c r="F59" s="1">
        <v>0</v>
      </c>
      <c r="G59" s="1">
        <v>0</v>
      </c>
      <c r="H59" s="1">
        <v>0</v>
      </c>
      <c r="I59" s="1">
        <v>0</v>
      </c>
      <c r="J59" s="1">
        <v>0</v>
      </c>
      <c r="K59" s="1">
        <v>0</v>
      </c>
      <c r="L59" s="1">
        <v>0</v>
      </c>
      <c r="M59" s="1">
        <v>0</v>
      </c>
      <c r="N59" s="155">
        <f t="shared" ref="N59:BH59" si="224">SUM(N60:N61)</f>
        <v>0</v>
      </c>
      <c r="O59" s="271">
        <f t="shared" si="224"/>
        <v>0</v>
      </c>
      <c r="P59" s="271">
        <f t="shared" si="224"/>
        <v>0</v>
      </c>
      <c r="Q59" s="271">
        <f t="shared" si="224"/>
        <v>0</v>
      </c>
      <c r="R59" s="271">
        <f t="shared" si="224"/>
        <v>0</v>
      </c>
      <c r="S59" s="271">
        <f t="shared" si="224"/>
        <v>0</v>
      </c>
      <c r="T59" s="271">
        <f t="shared" si="224"/>
        <v>0</v>
      </c>
      <c r="U59" s="271">
        <f t="shared" si="224"/>
        <v>0</v>
      </c>
      <c r="V59" s="271">
        <f t="shared" si="224"/>
        <v>0</v>
      </c>
      <c r="W59" s="271">
        <f t="shared" si="224"/>
        <v>3023.404</v>
      </c>
      <c r="X59" s="271">
        <f t="shared" si="224"/>
        <v>11576.846000000001</v>
      </c>
      <c r="Y59" s="271">
        <f t="shared" si="224"/>
        <v>38074.230000000003</v>
      </c>
      <c r="Z59" s="273">
        <f t="shared" si="224"/>
        <v>6423.3010000000004</v>
      </c>
      <c r="AA59" s="271">
        <f t="shared" si="224"/>
        <v>14331.094999999999</v>
      </c>
      <c r="AB59" s="271">
        <f t="shared" si="224"/>
        <v>8963.1870000000017</v>
      </c>
      <c r="AC59" s="271">
        <f t="shared" si="224"/>
        <v>201.15899999999999</v>
      </c>
      <c r="AD59" s="271">
        <f t="shared" si="224"/>
        <v>4597.63</v>
      </c>
      <c r="AE59" s="271">
        <f t="shared" si="224"/>
        <v>11575.67884574</v>
      </c>
      <c r="AF59" s="271">
        <f t="shared" si="224"/>
        <v>15355.991750000001</v>
      </c>
      <c r="AG59" s="271">
        <f t="shared" si="224"/>
        <v>963.14400000000001</v>
      </c>
      <c r="AH59" s="271">
        <f t="shared" si="224"/>
        <v>4814.7825949999997</v>
      </c>
      <c r="AI59" s="271">
        <f t="shared" si="224"/>
        <v>8881.5051000000003</v>
      </c>
      <c r="AJ59" s="271">
        <f t="shared" si="224"/>
        <v>2507.8850000000002</v>
      </c>
      <c r="AK59" s="274">
        <f t="shared" si="224"/>
        <v>9652.11</v>
      </c>
      <c r="AL59" s="273">
        <f t="shared" si="224"/>
        <v>28804.603099999997</v>
      </c>
      <c r="AM59" s="271">
        <f t="shared" si="224"/>
        <v>22367.21</v>
      </c>
      <c r="AN59" s="271">
        <f t="shared" si="224"/>
        <v>32939.870300000002</v>
      </c>
      <c r="AO59" s="271">
        <f t="shared" si="224"/>
        <v>3779.9079999999999</v>
      </c>
      <c r="AP59" s="271">
        <f t="shared" si="224"/>
        <v>671.27679999999998</v>
      </c>
      <c r="AQ59" s="271">
        <f t="shared" si="224"/>
        <v>2733.971</v>
      </c>
      <c r="AR59" s="271">
        <f t="shared" si="224"/>
        <v>1096.7539999999999</v>
      </c>
      <c r="AS59" s="271">
        <f t="shared" si="224"/>
        <v>5177.3869999999997</v>
      </c>
      <c r="AT59" s="271">
        <f t="shared" si="224"/>
        <v>13765.205000000002</v>
      </c>
      <c r="AU59" s="271">
        <f t="shared" si="224"/>
        <v>846.24599999999998</v>
      </c>
      <c r="AV59" s="271">
        <f t="shared" si="224"/>
        <v>2470.1579999999999</v>
      </c>
      <c r="AW59" s="271">
        <f t="shared" si="224"/>
        <v>212.02</v>
      </c>
      <c r="AX59" s="273">
        <f t="shared" si="224"/>
        <v>0</v>
      </c>
      <c r="AY59" s="271">
        <f t="shared" si="224"/>
        <v>711.27499999999998</v>
      </c>
      <c r="AZ59" s="271">
        <f t="shared" si="224"/>
        <v>679.125</v>
      </c>
      <c r="BA59" s="271">
        <f t="shared" si="224"/>
        <v>1881.6812989999999</v>
      </c>
      <c r="BB59" s="271">
        <f t="shared" si="224"/>
        <v>3552.4520000000002</v>
      </c>
      <c r="BC59" s="271">
        <f t="shared" si="224"/>
        <v>1490.43</v>
      </c>
      <c r="BD59" s="271">
        <f t="shared" si="224"/>
        <v>3465.6345299999998</v>
      </c>
      <c r="BE59" s="271">
        <f t="shared" si="224"/>
        <v>2708.4180000000001</v>
      </c>
      <c r="BF59" s="271">
        <f t="shared" si="224"/>
        <v>3320.0389999999998</v>
      </c>
      <c r="BG59" s="271">
        <f t="shared" si="224"/>
        <v>5140.4257039999993</v>
      </c>
      <c r="BH59" s="271">
        <f t="shared" si="224"/>
        <v>9742.2000000000007</v>
      </c>
      <c r="BI59" s="274">
        <f t="shared" ref="BI59:BU59" si="225">SUM(BI60:BI61)</f>
        <v>4261.4429999999993</v>
      </c>
      <c r="BJ59" s="271">
        <f t="shared" si="225"/>
        <v>5964.9769999999999</v>
      </c>
      <c r="BK59" s="271">
        <f t="shared" si="225"/>
        <v>4824.5291500000003</v>
      </c>
      <c r="BL59" s="271">
        <f t="shared" si="225"/>
        <v>0</v>
      </c>
      <c r="BM59" s="271">
        <f t="shared" si="225"/>
        <v>2966.7539999999999</v>
      </c>
      <c r="BN59" s="271">
        <f t="shared" si="225"/>
        <v>1108.163</v>
      </c>
      <c r="BO59" s="271">
        <f t="shared" si="225"/>
        <v>11921.961600000002</v>
      </c>
      <c r="BP59" s="271">
        <f t="shared" si="225"/>
        <v>2716.1930000000002</v>
      </c>
      <c r="BQ59" s="271">
        <f t="shared" si="225"/>
        <v>8892.1899999999987</v>
      </c>
      <c r="BR59" s="271">
        <f t="shared" si="225"/>
        <v>1956.6679999999999</v>
      </c>
      <c r="BS59" s="271">
        <f t="shared" si="225"/>
        <v>3284.0272</v>
      </c>
      <c r="BT59" s="271">
        <f t="shared" si="225"/>
        <v>3524.7559999999999</v>
      </c>
      <c r="BU59" s="274">
        <f t="shared" si="225"/>
        <v>7723.9709999999995</v>
      </c>
      <c r="BV59" s="271">
        <f t="shared" ref="BV59:CG59" si="226">SUM(BV60:BV61)</f>
        <v>2183.8110000000001</v>
      </c>
      <c r="BW59" s="271">
        <f t="shared" si="226"/>
        <v>2954.5001999999995</v>
      </c>
      <c r="BX59" s="271">
        <f t="shared" si="226"/>
        <v>14783.342999999997</v>
      </c>
      <c r="BY59" s="271">
        <f t="shared" si="226"/>
        <v>4854.6369999999997</v>
      </c>
      <c r="BZ59" s="271">
        <f t="shared" si="226"/>
        <v>15790.444</v>
      </c>
      <c r="CA59" s="271">
        <f t="shared" si="226"/>
        <v>2647.862439</v>
      </c>
      <c r="CB59" s="271">
        <f t="shared" si="226"/>
        <v>16629.723999999998</v>
      </c>
      <c r="CC59" s="271">
        <f t="shared" si="226"/>
        <v>12844.786</v>
      </c>
      <c r="CD59" s="271">
        <f t="shared" si="226"/>
        <v>20040.797000000002</v>
      </c>
      <c r="CE59" s="271">
        <f t="shared" si="226"/>
        <v>34708.904620000001</v>
      </c>
      <c r="CF59" s="271">
        <f t="shared" si="226"/>
        <v>18488.52</v>
      </c>
      <c r="CG59" s="271">
        <f t="shared" si="226"/>
        <v>35409.772399000009</v>
      </c>
      <c r="CH59" s="120">
        <f t="shared" ref="CH59:CS59" si="227">SUM(CH60:CH61)</f>
        <v>19404.503000000001</v>
      </c>
      <c r="CI59" s="155">
        <f t="shared" si="227"/>
        <v>873.73203699999999</v>
      </c>
      <c r="CJ59" s="155">
        <f t="shared" si="227"/>
        <v>56963.385067999996</v>
      </c>
      <c r="CK59" s="155">
        <f t="shared" si="227"/>
        <v>7765.4609999999993</v>
      </c>
      <c r="CL59" s="155">
        <f t="shared" si="227"/>
        <v>10927.896999999999</v>
      </c>
      <c r="CM59" s="155">
        <f t="shared" si="227"/>
        <v>7734.076</v>
      </c>
      <c r="CN59" s="155">
        <f t="shared" si="227"/>
        <v>110023.408</v>
      </c>
      <c r="CO59" s="155">
        <f t="shared" si="227"/>
        <v>40917.400999999998</v>
      </c>
      <c r="CP59" s="155">
        <f t="shared" si="227"/>
        <v>13645.357</v>
      </c>
      <c r="CQ59" s="155">
        <f t="shared" si="227"/>
        <v>107570.2634</v>
      </c>
      <c r="CR59" s="155">
        <f t="shared" si="227"/>
        <v>94922.588999999993</v>
      </c>
      <c r="CS59" s="177">
        <f t="shared" si="227"/>
        <v>226676.63200000004</v>
      </c>
      <c r="CT59" s="134">
        <f t="shared" ref="CT59:DE59" si="228">SUM(CT60:CT61)</f>
        <v>3783.9359999999997</v>
      </c>
      <c r="CU59" s="133">
        <f t="shared" si="228"/>
        <v>0</v>
      </c>
      <c r="CV59" s="133">
        <f t="shared" si="228"/>
        <v>0</v>
      </c>
      <c r="CW59" s="133">
        <f t="shared" si="228"/>
        <v>7840.1760000000004</v>
      </c>
      <c r="CX59" s="133">
        <f t="shared" si="228"/>
        <v>0</v>
      </c>
      <c r="CY59" s="133">
        <f t="shared" si="228"/>
        <v>0</v>
      </c>
      <c r="CZ59" s="133">
        <f t="shared" si="228"/>
        <v>0</v>
      </c>
      <c r="DA59" s="133">
        <f t="shared" si="228"/>
        <v>3093.6210000000001</v>
      </c>
      <c r="DB59" s="133">
        <f t="shared" si="228"/>
        <v>0</v>
      </c>
      <c r="DC59" s="133">
        <f t="shared" si="228"/>
        <v>260.41000000000003</v>
      </c>
      <c r="DD59" s="133">
        <f t="shared" si="228"/>
        <v>0</v>
      </c>
      <c r="DE59" s="138">
        <f t="shared" si="228"/>
        <v>3977.1149999999998</v>
      </c>
      <c r="DF59" s="134">
        <f t="shared" ref="DF59:DQ59" si="229">SUM(DF60:DF61)</f>
        <v>0</v>
      </c>
      <c r="DG59" s="133">
        <f t="shared" si="229"/>
        <v>0</v>
      </c>
      <c r="DH59" s="133">
        <f t="shared" si="229"/>
        <v>0</v>
      </c>
      <c r="DI59" s="133">
        <f t="shared" si="229"/>
        <v>0</v>
      </c>
      <c r="DJ59" s="133">
        <f t="shared" si="229"/>
        <v>0</v>
      </c>
      <c r="DK59" s="133">
        <f t="shared" si="229"/>
        <v>0</v>
      </c>
      <c r="DL59" s="133">
        <f t="shared" si="229"/>
        <v>0</v>
      </c>
      <c r="DM59" s="133">
        <f t="shared" si="229"/>
        <v>0</v>
      </c>
      <c r="DN59" s="133">
        <f t="shared" si="229"/>
        <v>0</v>
      </c>
      <c r="DO59" s="133">
        <f t="shared" si="229"/>
        <v>0</v>
      </c>
      <c r="DP59" s="133">
        <f t="shared" si="229"/>
        <v>0</v>
      </c>
      <c r="DQ59" s="138">
        <f t="shared" si="229"/>
        <v>0</v>
      </c>
      <c r="DR59" s="134">
        <f t="shared" ref="DR59:EC59" si="230">SUM(DR60:DR61)</f>
        <v>0</v>
      </c>
      <c r="DS59" s="133">
        <f t="shared" si="230"/>
        <v>0</v>
      </c>
      <c r="DT59" s="133">
        <f t="shared" si="230"/>
        <v>0</v>
      </c>
      <c r="DU59" s="133">
        <f t="shared" si="230"/>
        <v>0</v>
      </c>
      <c r="DV59" s="133">
        <f t="shared" si="230"/>
        <v>0</v>
      </c>
      <c r="DW59" s="133">
        <f t="shared" si="230"/>
        <v>0</v>
      </c>
      <c r="DX59" s="133">
        <f t="shared" si="230"/>
        <v>0</v>
      </c>
      <c r="DY59" s="133">
        <f t="shared" si="230"/>
        <v>0</v>
      </c>
      <c r="DZ59" s="133">
        <f t="shared" si="230"/>
        <v>0</v>
      </c>
      <c r="EA59" s="133">
        <f t="shared" si="230"/>
        <v>0</v>
      </c>
      <c r="EB59" s="133">
        <f t="shared" si="230"/>
        <v>0</v>
      </c>
      <c r="EC59" s="138">
        <f t="shared" si="230"/>
        <v>0</v>
      </c>
      <c r="ED59" s="274">
        <f>SUM(ED60:ED61)</f>
        <v>1245360.93613674</v>
      </c>
      <c r="EE59" s="164"/>
    </row>
    <row r="60" spans="1:183" ht="13.9" customHeight="1">
      <c r="A60" s="46" t="s">
        <v>1176</v>
      </c>
      <c r="B60" s="258"/>
      <c r="C60">
        <v>0</v>
      </c>
      <c r="D60">
        <v>0</v>
      </c>
      <c r="E60">
        <v>0</v>
      </c>
      <c r="F60">
        <v>0</v>
      </c>
      <c r="G60">
        <v>0</v>
      </c>
      <c r="H60">
        <v>0</v>
      </c>
      <c r="I60">
        <v>0</v>
      </c>
      <c r="J60">
        <v>0</v>
      </c>
      <c r="K60">
        <v>0</v>
      </c>
      <c r="L60">
        <v>0</v>
      </c>
      <c r="M60">
        <v>0</v>
      </c>
      <c r="N60" s="272">
        <v>0</v>
      </c>
      <c r="O60" s="272">
        <v>0</v>
      </c>
      <c r="P60" s="272">
        <v>0</v>
      </c>
      <c r="Q60" s="272">
        <v>0</v>
      </c>
      <c r="R60" s="272">
        <v>0</v>
      </c>
      <c r="S60" s="272">
        <v>0</v>
      </c>
      <c r="T60" s="272">
        <v>0</v>
      </c>
      <c r="U60" s="272">
        <v>0</v>
      </c>
      <c r="V60" s="272">
        <v>0</v>
      </c>
      <c r="W60" s="272">
        <v>0</v>
      </c>
      <c r="X60" s="272">
        <v>10718.253000000001</v>
      </c>
      <c r="Y60" s="272">
        <v>37723.455000000002</v>
      </c>
      <c r="Z60" s="174">
        <v>6423.3010000000004</v>
      </c>
      <c r="AA60" s="272">
        <v>3591.0769999999998</v>
      </c>
      <c r="AB60" s="272">
        <v>4431.8420000000006</v>
      </c>
      <c r="AC60" s="272">
        <v>0</v>
      </c>
      <c r="AD60" s="272">
        <v>1394.325</v>
      </c>
      <c r="AE60" s="272">
        <v>11575.67884574</v>
      </c>
      <c r="AF60" s="272">
        <v>5261.0007500000002</v>
      </c>
      <c r="AG60" s="272">
        <v>963.14400000000001</v>
      </c>
      <c r="AH60" s="272">
        <v>0</v>
      </c>
      <c r="AI60" s="272">
        <v>8553.0069999999996</v>
      </c>
      <c r="AJ60" s="272">
        <v>2199.7550000000001</v>
      </c>
      <c r="AK60" s="186">
        <v>755.8</v>
      </c>
      <c r="AL60" s="174">
        <v>27803.260799999996</v>
      </c>
      <c r="AM60" s="272">
        <v>22367.21</v>
      </c>
      <c r="AN60" s="272">
        <v>32733.0353</v>
      </c>
      <c r="AO60" s="272">
        <v>1070.9079999999999</v>
      </c>
      <c r="AP60" s="272">
        <v>89.60499999999999</v>
      </c>
      <c r="AQ60" s="272">
        <v>1808.1950000000002</v>
      </c>
      <c r="AR60" s="272">
        <v>0</v>
      </c>
      <c r="AS60" s="272">
        <v>5177.3869999999997</v>
      </c>
      <c r="AT60" s="272">
        <v>13765.205000000002</v>
      </c>
      <c r="AU60" s="272">
        <v>846.24599999999998</v>
      </c>
      <c r="AV60" s="272">
        <v>2294.616</v>
      </c>
      <c r="AW60" s="272">
        <v>212.02</v>
      </c>
      <c r="AX60" s="174">
        <v>0</v>
      </c>
      <c r="AY60" s="272">
        <v>711.27499999999998</v>
      </c>
      <c r="AZ60" s="272">
        <v>244.59200000000001</v>
      </c>
      <c r="BA60" s="272">
        <v>1881.6812989999999</v>
      </c>
      <c r="BB60" s="272">
        <v>3552.4520000000002</v>
      </c>
      <c r="BC60" s="272">
        <v>1490.43</v>
      </c>
      <c r="BD60" s="272">
        <v>3125.3085299999998</v>
      </c>
      <c r="BE60" s="272">
        <v>2354.404</v>
      </c>
      <c r="BF60" s="272">
        <v>2856.049</v>
      </c>
      <c r="BG60" s="272">
        <v>4205.1467039999998</v>
      </c>
      <c r="BH60" s="272">
        <v>9742.2000000000007</v>
      </c>
      <c r="BI60" s="186">
        <v>2354.4169999999999</v>
      </c>
      <c r="BJ60" s="272">
        <v>3218.06</v>
      </c>
      <c r="BK60" s="272">
        <v>2246.5461</v>
      </c>
      <c r="BL60" s="272">
        <v>0</v>
      </c>
      <c r="BM60" s="272">
        <v>0</v>
      </c>
      <c r="BN60" s="272">
        <v>1108.163</v>
      </c>
      <c r="BO60" s="272">
        <v>3339.63</v>
      </c>
      <c r="BP60" s="272">
        <v>1335.508</v>
      </c>
      <c r="BQ60" s="272">
        <v>3257.3599999999997</v>
      </c>
      <c r="BR60" s="272">
        <v>0</v>
      </c>
      <c r="BS60" s="272">
        <v>3168.12</v>
      </c>
      <c r="BT60" s="272">
        <v>0</v>
      </c>
      <c r="BU60" s="186">
        <v>4244.4449999999997</v>
      </c>
      <c r="BV60" s="272">
        <v>2183.8110000000001</v>
      </c>
      <c r="BW60" s="272">
        <v>0</v>
      </c>
      <c r="BX60" s="272">
        <v>13692.962999999998</v>
      </c>
      <c r="BY60" s="272">
        <v>788.05499999999995</v>
      </c>
      <c r="BZ60" s="272">
        <v>8108.0870000000004</v>
      </c>
      <c r="CA60" s="272">
        <v>409.69124999999997</v>
      </c>
      <c r="CB60" s="272">
        <v>945.6</v>
      </c>
      <c r="CC60" s="272">
        <v>3900.8100000000004</v>
      </c>
      <c r="CD60" s="272">
        <v>1147.011</v>
      </c>
      <c r="CE60" s="272">
        <v>17898.558000000001</v>
      </c>
      <c r="CF60" s="272">
        <v>3372.1259999999997</v>
      </c>
      <c r="CG60" s="272">
        <v>9640.8420000000006</v>
      </c>
      <c r="CH60" s="19">
        <v>6663.3140000000003</v>
      </c>
      <c r="CI60" s="22">
        <v>553.02203699999995</v>
      </c>
      <c r="CJ60" s="22">
        <v>33830.983067999994</v>
      </c>
      <c r="CK60" s="22">
        <v>1599.62</v>
      </c>
      <c r="CL60" s="22">
        <v>379.18900000000002</v>
      </c>
      <c r="CM60" s="22">
        <v>2993.5280000000002</v>
      </c>
      <c r="CN60" s="22">
        <v>103774.368</v>
      </c>
      <c r="CO60" s="22">
        <v>17402.038</v>
      </c>
      <c r="CP60" s="22">
        <v>0</v>
      </c>
      <c r="CQ60" s="22">
        <v>5764.33</v>
      </c>
      <c r="CR60" s="22">
        <v>6360.549</v>
      </c>
      <c r="CS60" s="12">
        <v>1097.604</v>
      </c>
      <c r="CT60" s="90">
        <v>0</v>
      </c>
      <c r="CU60" s="94">
        <v>0</v>
      </c>
      <c r="CV60" s="94">
        <v>0</v>
      </c>
      <c r="CW60" s="94">
        <v>0</v>
      </c>
      <c r="CX60" s="94">
        <v>0</v>
      </c>
      <c r="CY60" s="94">
        <v>0</v>
      </c>
      <c r="CZ60" s="94">
        <v>0</v>
      </c>
      <c r="DA60" s="94">
        <v>0</v>
      </c>
      <c r="DB60" s="94">
        <v>0</v>
      </c>
      <c r="DC60" s="94">
        <v>0</v>
      </c>
      <c r="DD60" s="94">
        <v>0</v>
      </c>
      <c r="DE60" s="28">
        <v>0</v>
      </c>
      <c r="DF60" s="90">
        <v>0</v>
      </c>
      <c r="DG60" s="94">
        <v>0</v>
      </c>
      <c r="DH60" s="94">
        <v>0</v>
      </c>
      <c r="DI60" s="94">
        <v>0</v>
      </c>
      <c r="DJ60" s="94">
        <v>0</v>
      </c>
      <c r="DK60" s="94">
        <v>0</v>
      </c>
      <c r="DL60" s="94">
        <v>0</v>
      </c>
      <c r="DM60" s="94">
        <v>0</v>
      </c>
      <c r="DN60" s="94">
        <v>0</v>
      </c>
      <c r="DO60" s="94">
        <v>0</v>
      </c>
      <c r="DP60" s="94">
        <v>0</v>
      </c>
      <c r="DQ60" s="28">
        <v>0</v>
      </c>
      <c r="DR60" s="90">
        <v>0</v>
      </c>
      <c r="DS60" s="94">
        <v>0</v>
      </c>
      <c r="DT60" s="94">
        <v>0</v>
      </c>
      <c r="DU60" s="94">
        <v>0</v>
      </c>
      <c r="DV60" s="94">
        <v>0</v>
      </c>
      <c r="DW60" s="94">
        <v>0</v>
      </c>
      <c r="DX60" s="94">
        <v>0</v>
      </c>
      <c r="DY60" s="94">
        <v>0</v>
      </c>
      <c r="DZ60" s="94">
        <v>0</v>
      </c>
      <c r="EA60" s="94">
        <v>0</v>
      </c>
      <c r="EB60" s="94">
        <v>0</v>
      </c>
      <c r="EC60" s="28">
        <v>0</v>
      </c>
      <c r="ED60" s="186">
        <f>SUM(N60:EC60)</f>
        <v>498700.21368374</v>
      </c>
      <c r="EE60" s="32"/>
    </row>
    <row r="61" spans="1:183" ht="13.9" customHeight="1">
      <c r="A61" s="44" t="s">
        <v>707</v>
      </c>
      <c r="B61" s="258"/>
      <c r="C61">
        <v>0</v>
      </c>
      <c r="D61">
        <v>0</v>
      </c>
      <c r="E61">
        <v>0</v>
      </c>
      <c r="F61">
        <v>0</v>
      </c>
      <c r="G61">
        <v>0</v>
      </c>
      <c r="H61">
        <v>0</v>
      </c>
      <c r="I61">
        <v>0</v>
      </c>
      <c r="J61">
        <v>0</v>
      </c>
      <c r="K61">
        <v>0</v>
      </c>
      <c r="L61">
        <v>0</v>
      </c>
      <c r="M61">
        <v>0</v>
      </c>
      <c r="N61" s="272">
        <v>0</v>
      </c>
      <c r="O61" s="272">
        <v>0</v>
      </c>
      <c r="P61" s="272">
        <v>0</v>
      </c>
      <c r="Q61" s="272">
        <v>0</v>
      </c>
      <c r="R61" s="272">
        <v>0</v>
      </c>
      <c r="S61" s="272">
        <v>0</v>
      </c>
      <c r="T61" s="272">
        <v>0</v>
      </c>
      <c r="U61" s="272">
        <v>0</v>
      </c>
      <c r="V61" s="272">
        <v>0</v>
      </c>
      <c r="W61" s="272">
        <v>3023.404</v>
      </c>
      <c r="X61" s="272">
        <v>858.59299999999996</v>
      </c>
      <c r="Y61" s="272">
        <v>350.77499999999998</v>
      </c>
      <c r="Z61" s="174">
        <v>0</v>
      </c>
      <c r="AA61" s="272">
        <v>10740.018</v>
      </c>
      <c r="AB61" s="272">
        <v>4531.3450000000003</v>
      </c>
      <c r="AC61" s="272">
        <v>201.15899999999999</v>
      </c>
      <c r="AD61" s="272">
        <v>3203.3050000000003</v>
      </c>
      <c r="AE61" s="272">
        <v>0</v>
      </c>
      <c r="AF61" s="272">
        <v>10094.991000000002</v>
      </c>
      <c r="AG61" s="272">
        <v>0</v>
      </c>
      <c r="AH61" s="272">
        <v>4814.7825949999997</v>
      </c>
      <c r="AI61" s="272">
        <v>328.49810000000002</v>
      </c>
      <c r="AJ61" s="272">
        <v>308.13</v>
      </c>
      <c r="AK61" s="186">
        <v>8896.3100000000013</v>
      </c>
      <c r="AL61" s="174">
        <v>1001.3423</v>
      </c>
      <c r="AM61" s="272">
        <v>0</v>
      </c>
      <c r="AN61" s="272">
        <v>206.83500000000001</v>
      </c>
      <c r="AO61" s="272">
        <v>2709</v>
      </c>
      <c r="AP61" s="272">
        <v>581.67179999999996</v>
      </c>
      <c r="AQ61" s="272">
        <v>925.77599999999995</v>
      </c>
      <c r="AR61" s="272">
        <v>1096.7539999999999</v>
      </c>
      <c r="AS61" s="272">
        <v>0</v>
      </c>
      <c r="AT61" s="272">
        <v>0</v>
      </c>
      <c r="AU61" s="272">
        <v>0</v>
      </c>
      <c r="AV61" s="272">
        <v>175.542</v>
      </c>
      <c r="AW61" s="272">
        <v>0</v>
      </c>
      <c r="AX61" s="174">
        <v>0</v>
      </c>
      <c r="AY61" s="272">
        <v>0</v>
      </c>
      <c r="AZ61" s="272">
        <v>434.53300000000002</v>
      </c>
      <c r="BA61" s="272">
        <v>0</v>
      </c>
      <c r="BB61" s="272">
        <v>0</v>
      </c>
      <c r="BC61" s="272">
        <v>0</v>
      </c>
      <c r="BD61" s="272">
        <v>340.32600000000002</v>
      </c>
      <c r="BE61" s="272">
        <v>354.01400000000001</v>
      </c>
      <c r="BF61" s="272">
        <v>463.99</v>
      </c>
      <c r="BG61" s="272">
        <v>935.279</v>
      </c>
      <c r="BH61" s="272">
        <v>0</v>
      </c>
      <c r="BI61" s="186">
        <v>1907.0259999999998</v>
      </c>
      <c r="BJ61" s="272">
        <v>2746.9169999999999</v>
      </c>
      <c r="BK61" s="272">
        <v>2577.9830499999998</v>
      </c>
      <c r="BL61" s="272">
        <v>0</v>
      </c>
      <c r="BM61" s="272">
        <v>2966.7539999999999</v>
      </c>
      <c r="BN61" s="272">
        <v>0</v>
      </c>
      <c r="BO61" s="272">
        <v>8582.3316000000013</v>
      </c>
      <c r="BP61" s="272">
        <v>1380.6849999999999</v>
      </c>
      <c r="BQ61" s="272">
        <v>5634.83</v>
      </c>
      <c r="BR61" s="272">
        <v>1956.6679999999999</v>
      </c>
      <c r="BS61" s="272">
        <v>115.90719999999999</v>
      </c>
      <c r="BT61" s="272">
        <v>3524.7559999999999</v>
      </c>
      <c r="BU61" s="186">
        <v>3479.5259999999998</v>
      </c>
      <c r="BV61" s="272">
        <v>0</v>
      </c>
      <c r="BW61" s="272">
        <v>2954.5001999999995</v>
      </c>
      <c r="BX61" s="272">
        <v>1090.3800000000001</v>
      </c>
      <c r="BY61" s="272">
        <v>4066.5819999999999</v>
      </c>
      <c r="BZ61" s="272">
        <v>7682.357</v>
      </c>
      <c r="CA61" s="272">
        <v>2238.1711890000001</v>
      </c>
      <c r="CB61" s="272">
        <v>15684.124</v>
      </c>
      <c r="CC61" s="272">
        <v>8943.9760000000006</v>
      </c>
      <c r="CD61" s="272">
        <v>18893.786000000004</v>
      </c>
      <c r="CE61" s="272">
        <v>16810.34662</v>
      </c>
      <c r="CF61" s="272">
        <v>15116.394</v>
      </c>
      <c r="CG61" s="272">
        <v>25768.930399000004</v>
      </c>
      <c r="CH61" s="20">
        <v>12741.189</v>
      </c>
      <c r="CI61" s="24">
        <v>320.70999999999998</v>
      </c>
      <c r="CJ61" s="24">
        <v>23132.402000000002</v>
      </c>
      <c r="CK61" s="24">
        <v>6165.8409999999994</v>
      </c>
      <c r="CL61" s="24">
        <v>10548.707999999999</v>
      </c>
      <c r="CM61" s="24">
        <v>4740.5479999999998</v>
      </c>
      <c r="CN61" s="24">
        <v>6249.04</v>
      </c>
      <c r="CO61" s="24">
        <v>23515.363000000001</v>
      </c>
      <c r="CP61" s="24">
        <v>13645.357</v>
      </c>
      <c r="CQ61" s="24">
        <v>101805.93339999999</v>
      </c>
      <c r="CR61" s="24">
        <v>88562.04</v>
      </c>
      <c r="CS61" s="13">
        <v>225579.02800000005</v>
      </c>
      <c r="CT61" s="47">
        <v>3783.9359999999997</v>
      </c>
      <c r="CU61" s="95">
        <v>0</v>
      </c>
      <c r="CV61" s="95">
        <v>0</v>
      </c>
      <c r="CW61" s="95">
        <v>7840.1760000000004</v>
      </c>
      <c r="CX61" s="95">
        <v>0</v>
      </c>
      <c r="CY61" s="95">
        <v>0</v>
      </c>
      <c r="CZ61" s="95">
        <v>0</v>
      </c>
      <c r="DA61" s="95">
        <v>3093.6210000000001</v>
      </c>
      <c r="DB61" s="95">
        <v>0</v>
      </c>
      <c r="DC61" s="95">
        <v>260.41000000000003</v>
      </c>
      <c r="DD61" s="95">
        <v>0</v>
      </c>
      <c r="DE61" s="29">
        <v>3977.1149999999998</v>
      </c>
      <c r="DF61" s="47">
        <v>0</v>
      </c>
      <c r="DG61" s="95">
        <v>0</v>
      </c>
      <c r="DH61" s="95">
        <v>0</v>
      </c>
      <c r="DI61" s="95">
        <v>0</v>
      </c>
      <c r="DJ61" s="95">
        <v>0</v>
      </c>
      <c r="DK61" s="95">
        <v>0</v>
      </c>
      <c r="DL61" s="95">
        <v>0</v>
      </c>
      <c r="DM61" s="95">
        <v>0</v>
      </c>
      <c r="DN61" s="95">
        <v>0</v>
      </c>
      <c r="DO61" s="95">
        <v>0</v>
      </c>
      <c r="DP61" s="95">
        <v>0</v>
      </c>
      <c r="DQ61" s="29">
        <v>0</v>
      </c>
      <c r="DR61" s="47">
        <v>0</v>
      </c>
      <c r="DS61" s="95">
        <v>0</v>
      </c>
      <c r="DT61" s="95">
        <v>0</v>
      </c>
      <c r="DU61" s="95">
        <v>0</v>
      </c>
      <c r="DV61" s="95">
        <v>0</v>
      </c>
      <c r="DW61" s="95">
        <v>0</v>
      </c>
      <c r="DX61" s="95">
        <v>0</v>
      </c>
      <c r="DY61" s="95">
        <v>0</v>
      </c>
      <c r="DZ61" s="95">
        <v>0</v>
      </c>
      <c r="EA61" s="95">
        <v>0</v>
      </c>
      <c r="EB61" s="95">
        <v>0</v>
      </c>
      <c r="EC61" s="29">
        <v>0</v>
      </c>
      <c r="ED61" s="300">
        <f>SUM(N61:EC61)</f>
        <v>746660.72245300002</v>
      </c>
      <c r="EE61" s="32"/>
    </row>
    <row r="62" spans="1:183" ht="13.9" customHeight="1">
      <c r="A62" s="39" t="s">
        <v>396</v>
      </c>
      <c r="B62" s="258"/>
      <c r="C62">
        <v>0</v>
      </c>
      <c r="D62">
        <v>0</v>
      </c>
      <c r="E62">
        <v>0</v>
      </c>
      <c r="F62">
        <v>0</v>
      </c>
      <c r="G62">
        <v>0</v>
      </c>
      <c r="H62">
        <v>0</v>
      </c>
      <c r="I62">
        <v>0</v>
      </c>
      <c r="J62">
        <v>0</v>
      </c>
      <c r="K62">
        <v>0</v>
      </c>
      <c r="L62">
        <v>0</v>
      </c>
      <c r="M62">
        <v>0</v>
      </c>
      <c r="N62" s="271">
        <f t="shared" ref="N62:BH62" si="231">SUM(N63:N71)</f>
        <v>0</v>
      </c>
      <c r="O62" s="271">
        <f t="shared" si="231"/>
        <v>0</v>
      </c>
      <c r="P62" s="271">
        <f t="shared" si="231"/>
        <v>0</v>
      </c>
      <c r="Q62" s="271">
        <f t="shared" si="231"/>
        <v>0</v>
      </c>
      <c r="R62" s="271">
        <f t="shared" si="231"/>
        <v>0</v>
      </c>
      <c r="S62" s="271">
        <f t="shared" si="231"/>
        <v>0</v>
      </c>
      <c r="T62" s="271">
        <f t="shared" si="231"/>
        <v>0</v>
      </c>
      <c r="U62" s="271">
        <f t="shared" si="231"/>
        <v>0</v>
      </c>
      <c r="V62" s="271">
        <f t="shared" si="231"/>
        <v>0</v>
      </c>
      <c r="W62" s="271">
        <f t="shared" si="231"/>
        <v>0</v>
      </c>
      <c r="X62" s="271">
        <f t="shared" si="231"/>
        <v>2099.0027</v>
      </c>
      <c r="Y62" s="271">
        <f t="shared" si="231"/>
        <v>764.23</v>
      </c>
      <c r="Z62" s="273">
        <f t="shared" si="231"/>
        <v>2329.2309999999998</v>
      </c>
      <c r="AA62" s="271">
        <f t="shared" si="231"/>
        <v>0</v>
      </c>
      <c r="AB62" s="271">
        <f t="shared" si="231"/>
        <v>484.49025</v>
      </c>
      <c r="AC62" s="271">
        <f t="shared" si="231"/>
        <v>365.12800000000004</v>
      </c>
      <c r="AD62" s="271">
        <f t="shared" si="231"/>
        <v>183.096</v>
      </c>
      <c r="AE62" s="271">
        <f t="shared" si="231"/>
        <v>433.47</v>
      </c>
      <c r="AF62" s="271">
        <f t="shared" si="231"/>
        <v>2113.3575000000001</v>
      </c>
      <c r="AG62" s="271">
        <f t="shared" si="231"/>
        <v>0</v>
      </c>
      <c r="AH62" s="271">
        <f t="shared" si="231"/>
        <v>0</v>
      </c>
      <c r="AI62" s="271">
        <f t="shared" si="231"/>
        <v>4732.9882564999998</v>
      </c>
      <c r="AJ62" s="271">
        <f t="shared" si="231"/>
        <v>0</v>
      </c>
      <c r="AK62" s="274">
        <f t="shared" si="231"/>
        <v>255.56</v>
      </c>
      <c r="AL62" s="273">
        <f t="shared" si="231"/>
        <v>2.7655000000000003</v>
      </c>
      <c r="AM62" s="271">
        <f t="shared" si="231"/>
        <v>0</v>
      </c>
      <c r="AN62" s="271">
        <f t="shared" si="231"/>
        <v>292.66899999999998</v>
      </c>
      <c r="AO62" s="271">
        <f t="shared" si="231"/>
        <v>1728.8520000000001</v>
      </c>
      <c r="AP62" s="271">
        <f t="shared" si="231"/>
        <v>8871.4763599999987</v>
      </c>
      <c r="AQ62" s="271">
        <f t="shared" si="231"/>
        <v>6666.3740000000007</v>
      </c>
      <c r="AR62" s="271">
        <f t="shared" si="231"/>
        <v>7692.9160000000002</v>
      </c>
      <c r="AS62" s="271">
        <f t="shared" si="231"/>
        <v>682.14300000000003</v>
      </c>
      <c r="AT62" s="271">
        <f t="shared" si="231"/>
        <v>1446.7335899999998</v>
      </c>
      <c r="AU62" s="271">
        <f t="shared" si="231"/>
        <v>312.79700000000003</v>
      </c>
      <c r="AV62" s="271">
        <f t="shared" si="231"/>
        <v>438.35</v>
      </c>
      <c r="AW62" s="271">
        <f t="shared" si="231"/>
        <v>994.16</v>
      </c>
      <c r="AX62" s="273">
        <f t="shared" si="231"/>
        <v>0</v>
      </c>
      <c r="AY62" s="271">
        <f t="shared" si="231"/>
        <v>0</v>
      </c>
      <c r="AZ62" s="271">
        <f t="shared" si="231"/>
        <v>414.84750000000003</v>
      </c>
      <c r="BA62" s="271">
        <f t="shared" si="231"/>
        <v>46.584000000000003</v>
      </c>
      <c r="BB62" s="271">
        <f t="shared" si="231"/>
        <v>0</v>
      </c>
      <c r="BC62" s="271">
        <f t="shared" si="231"/>
        <v>2975</v>
      </c>
      <c r="BD62" s="271">
        <f t="shared" si="231"/>
        <v>522.32000000000005</v>
      </c>
      <c r="BE62" s="271">
        <f t="shared" si="231"/>
        <v>8798.5029999999988</v>
      </c>
      <c r="BF62" s="271">
        <f t="shared" si="231"/>
        <v>3372.6410000000001</v>
      </c>
      <c r="BG62" s="271">
        <f t="shared" si="231"/>
        <v>0</v>
      </c>
      <c r="BH62" s="271">
        <f t="shared" si="231"/>
        <v>44.673749999999998</v>
      </c>
      <c r="BI62" s="274">
        <f t="shared" ref="BI62:BU62" si="232">SUM(BI63:BI71)</f>
        <v>390.86799999999999</v>
      </c>
      <c r="BJ62" s="271">
        <f t="shared" si="232"/>
        <v>1288.6409999999998</v>
      </c>
      <c r="BK62" s="271">
        <f t="shared" si="232"/>
        <v>39.5</v>
      </c>
      <c r="BL62" s="271">
        <f t="shared" si="232"/>
        <v>702.97</v>
      </c>
      <c r="BM62" s="271">
        <f t="shared" si="232"/>
        <v>666.46500000000003</v>
      </c>
      <c r="BN62" s="271">
        <f t="shared" si="232"/>
        <v>4223.5140000000001</v>
      </c>
      <c r="BO62" s="271">
        <f t="shared" si="232"/>
        <v>3131.703</v>
      </c>
      <c r="BP62" s="271">
        <f t="shared" si="232"/>
        <v>0</v>
      </c>
      <c r="BQ62" s="271">
        <f t="shared" si="232"/>
        <v>719.97399999999993</v>
      </c>
      <c r="BR62" s="271">
        <f t="shared" si="232"/>
        <v>1228.548</v>
      </c>
      <c r="BS62" s="271">
        <f t="shared" si="232"/>
        <v>179.509511</v>
      </c>
      <c r="BT62" s="271">
        <f t="shared" si="232"/>
        <v>1410.26</v>
      </c>
      <c r="BU62" s="274">
        <f t="shared" si="232"/>
        <v>2755.8680000000004</v>
      </c>
      <c r="BV62" s="271">
        <f t="shared" ref="BV62:CG62" si="233">SUM(BV63:BV71)</f>
        <v>180.98</v>
      </c>
      <c r="BW62" s="271">
        <f t="shared" si="233"/>
        <v>3.32</v>
      </c>
      <c r="BX62" s="271">
        <f t="shared" si="233"/>
        <v>2014.5680000000002</v>
      </c>
      <c r="BY62" s="271">
        <f t="shared" si="233"/>
        <v>0</v>
      </c>
      <c r="BZ62" s="271">
        <f t="shared" si="233"/>
        <v>215.14649999999997</v>
      </c>
      <c r="CA62" s="271">
        <f t="shared" si="233"/>
        <v>126.13500000000001</v>
      </c>
      <c r="CB62" s="271">
        <f t="shared" si="233"/>
        <v>0</v>
      </c>
      <c r="CC62" s="271">
        <f t="shared" si="233"/>
        <v>0</v>
      </c>
      <c r="CD62" s="271">
        <f t="shared" si="233"/>
        <v>112.71599999999999</v>
      </c>
      <c r="CE62" s="271">
        <f t="shared" si="233"/>
        <v>29.936970000000002</v>
      </c>
      <c r="CF62" s="271">
        <f t="shared" si="233"/>
        <v>0</v>
      </c>
      <c r="CG62" s="271">
        <f t="shared" si="233"/>
        <v>2.3327499999999999</v>
      </c>
      <c r="CH62" s="120">
        <f t="shared" ref="CH62:CS62" si="234">SUM(CH63:CH71)</f>
        <v>25.405999999999999</v>
      </c>
      <c r="CI62" s="155">
        <f t="shared" si="234"/>
        <v>76.018152000000001</v>
      </c>
      <c r="CJ62" s="155">
        <f t="shared" si="234"/>
        <v>718.37699999999995</v>
      </c>
      <c r="CK62" s="155">
        <f t="shared" si="234"/>
        <v>0</v>
      </c>
      <c r="CL62" s="155">
        <f t="shared" si="234"/>
        <v>27.109500000000001</v>
      </c>
      <c r="CM62" s="155">
        <f t="shared" si="234"/>
        <v>0</v>
      </c>
      <c r="CN62" s="155">
        <f t="shared" si="234"/>
        <v>0</v>
      </c>
      <c r="CO62" s="155">
        <f t="shared" si="234"/>
        <v>606.654</v>
      </c>
      <c r="CP62" s="155">
        <f t="shared" si="234"/>
        <v>0</v>
      </c>
      <c r="CQ62" s="155">
        <f t="shared" si="234"/>
        <v>188.26400000000001</v>
      </c>
      <c r="CR62" s="155">
        <f t="shared" si="234"/>
        <v>0</v>
      </c>
      <c r="CS62" s="177">
        <f t="shared" si="234"/>
        <v>782.99800000000005</v>
      </c>
      <c r="CT62" s="134">
        <f t="shared" ref="CT62:DE62" si="235">SUM(CT63:CT71)</f>
        <v>2826.1509999999998</v>
      </c>
      <c r="CU62" s="133">
        <f t="shared" si="235"/>
        <v>259.09800000000001</v>
      </c>
      <c r="CV62" s="133">
        <f t="shared" si="235"/>
        <v>0</v>
      </c>
      <c r="CW62" s="133">
        <f t="shared" si="235"/>
        <v>0</v>
      </c>
      <c r="CX62" s="133">
        <f t="shared" si="235"/>
        <v>0</v>
      </c>
      <c r="CY62" s="133">
        <f t="shared" si="235"/>
        <v>0</v>
      </c>
      <c r="CZ62" s="133">
        <f t="shared" si="235"/>
        <v>0</v>
      </c>
      <c r="DA62" s="133">
        <f t="shared" si="235"/>
        <v>0</v>
      </c>
      <c r="DB62" s="133">
        <f t="shared" si="235"/>
        <v>0</v>
      </c>
      <c r="DC62" s="133">
        <f t="shared" si="235"/>
        <v>0</v>
      </c>
      <c r="DD62" s="133">
        <f t="shared" si="235"/>
        <v>0</v>
      </c>
      <c r="DE62" s="138">
        <f t="shared" si="235"/>
        <v>0</v>
      </c>
      <c r="DF62" s="134">
        <f t="shared" ref="DF62:DQ62" si="236">SUM(DF63:DF71)</f>
        <v>0</v>
      </c>
      <c r="DG62" s="133">
        <f t="shared" si="236"/>
        <v>0</v>
      </c>
      <c r="DH62" s="133">
        <f t="shared" si="236"/>
        <v>0</v>
      </c>
      <c r="DI62" s="133">
        <f t="shared" si="236"/>
        <v>0</v>
      </c>
      <c r="DJ62" s="133">
        <f t="shared" si="236"/>
        <v>0</v>
      </c>
      <c r="DK62" s="133">
        <f t="shared" si="236"/>
        <v>0</v>
      </c>
      <c r="DL62" s="133">
        <f t="shared" si="236"/>
        <v>0</v>
      </c>
      <c r="DM62" s="133">
        <f t="shared" si="236"/>
        <v>0</v>
      </c>
      <c r="DN62" s="133">
        <f t="shared" si="236"/>
        <v>0</v>
      </c>
      <c r="DO62" s="133">
        <f t="shared" si="236"/>
        <v>0</v>
      </c>
      <c r="DP62" s="133">
        <f t="shared" si="236"/>
        <v>0</v>
      </c>
      <c r="DQ62" s="138">
        <f t="shared" si="236"/>
        <v>0</v>
      </c>
      <c r="DR62" s="134">
        <f t="shared" ref="DR62:EC62" si="237">SUM(DR63:DR71)</f>
        <v>0</v>
      </c>
      <c r="DS62" s="133">
        <f t="shared" si="237"/>
        <v>0</v>
      </c>
      <c r="DT62" s="133">
        <f t="shared" si="237"/>
        <v>0</v>
      </c>
      <c r="DU62" s="133">
        <f t="shared" si="237"/>
        <v>0</v>
      </c>
      <c r="DV62" s="133">
        <f t="shared" si="237"/>
        <v>0</v>
      </c>
      <c r="DW62" s="133">
        <f t="shared" si="237"/>
        <v>0</v>
      </c>
      <c r="DX62" s="133">
        <f t="shared" si="237"/>
        <v>0</v>
      </c>
      <c r="DY62" s="133">
        <f t="shared" si="237"/>
        <v>0</v>
      </c>
      <c r="DZ62" s="133">
        <f t="shared" si="237"/>
        <v>0</v>
      </c>
      <c r="EA62" s="133">
        <f t="shared" si="237"/>
        <v>0</v>
      </c>
      <c r="EB62" s="133">
        <f t="shared" si="237"/>
        <v>0</v>
      </c>
      <c r="EC62" s="138">
        <f t="shared" si="237"/>
        <v>0</v>
      </c>
      <c r="ED62" s="274">
        <f>SUM(ED63:ED71)</f>
        <v>83997.390789499987</v>
      </c>
      <c r="EE62" s="32"/>
    </row>
    <row r="63" spans="1:183" ht="13.9" customHeight="1">
      <c r="A63" s="125" t="s">
        <v>573</v>
      </c>
      <c r="B63" s="258"/>
      <c r="C63">
        <v>0</v>
      </c>
      <c r="D63">
        <v>0</v>
      </c>
      <c r="E63">
        <v>0</v>
      </c>
      <c r="F63">
        <v>0</v>
      </c>
      <c r="G63">
        <v>0</v>
      </c>
      <c r="H63">
        <v>0</v>
      </c>
      <c r="I63">
        <v>0</v>
      </c>
      <c r="J63">
        <v>0</v>
      </c>
      <c r="K63">
        <v>0</v>
      </c>
      <c r="L63">
        <v>0</v>
      </c>
      <c r="N63" s="276">
        <v>0</v>
      </c>
      <c r="O63" s="276">
        <v>0</v>
      </c>
      <c r="P63" s="276">
        <v>0</v>
      </c>
      <c r="Q63" s="276">
        <v>0</v>
      </c>
      <c r="R63" s="276">
        <v>0</v>
      </c>
      <c r="S63" s="276">
        <v>0</v>
      </c>
      <c r="T63" s="276">
        <v>0</v>
      </c>
      <c r="U63" s="276">
        <v>0</v>
      </c>
      <c r="V63" s="276">
        <v>0</v>
      </c>
      <c r="W63" s="276">
        <v>0</v>
      </c>
      <c r="X63" s="276">
        <v>1501.1759999999999</v>
      </c>
      <c r="Y63" s="276">
        <v>163.5</v>
      </c>
      <c r="Z63" s="275">
        <v>0</v>
      </c>
      <c r="AA63" s="276">
        <v>0</v>
      </c>
      <c r="AB63" s="276">
        <v>407</v>
      </c>
      <c r="AC63" s="276">
        <v>0</v>
      </c>
      <c r="AD63" s="276">
        <v>183.096</v>
      </c>
      <c r="AE63" s="276">
        <v>370.97</v>
      </c>
      <c r="AF63" s="276">
        <v>0</v>
      </c>
      <c r="AG63" s="276">
        <v>0</v>
      </c>
      <c r="AH63" s="276">
        <v>0</v>
      </c>
      <c r="AI63" s="276">
        <v>0</v>
      </c>
      <c r="AJ63" s="276">
        <v>0</v>
      </c>
      <c r="AK63" s="277">
        <v>255.56</v>
      </c>
      <c r="AL63" s="275">
        <v>0</v>
      </c>
      <c r="AM63" s="276">
        <v>0</v>
      </c>
      <c r="AN63" s="276">
        <v>125.464</v>
      </c>
      <c r="AO63" s="276">
        <v>0</v>
      </c>
      <c r="AP63" s="276">
        <v>787.23775000000001</v>
      </c>
      <c r="AQ63" s="276">
        <v>0</v>
      </c>
      <c r="AR63" s="276">
        <v>0</v>
      </c>
      <c r="AS63" s="276">
        <v>682.14300000000003</v>
      </c>
      <c r="AT63" s="276">
        <v>0</v>
      </c>
      <c r="AU63" s="276">
        <v>94.36999999999999</v>
      </c>
      <c r="AV63" s="276">
        <v>0</v>
      </c>
      <c r="AW63" s="276">
        <v>994.16</v>
      </c>
      <c r="AX63" s="275">
        <v>0</v>
      </c>
      <c r="AY63" s="276">
        <v>0</v>
      </c>
      <c r="AZ63" s="276">
        <v>349.71750000000003</v>
      </c>
      <c r="BA63" s="276">
        <v>0</v>
      </c>
      <c r="BB63" s="276">
        <v>0</v>
      </c>
      <c r="BC63" s="276">
        <v>0</v>
      </c>
      <c r="BD63" s="276">
        <v>0</v>
      </c>
      <c r="BE63" s="276">
        <v>0</v>
      </c>
      <c r="BF63" s="276">
        <v>0</v>
      </c>
      <c r="BG63" s="276">
        <v>0</v>
      </c>
      <c r="BH63" s="276">
        <v>0</v>
      </c>
      <c r="BI63" s="277">
        <v>0</v>
      </c>
      <c r="BJ63" s="276">
        <v>0</v>
      </c>
      <c r="BK63" s="276">
        <v>0</v>
      </c>
      <c r="BL63" s="276">
        <v>0</v>
      </c>
      <c r="BM63" s="276">
        <v>0</v>
      </c>
      <c r="BN63" s="276">
        <v>4223.5140000000001</v>
      </c>
      <c r="BO63" s="276">
        <v>3108.482</v>
      </c>
      <c r="BP63" s="276">
        <v>0</v>
      </c>
      <c r="BQ63" s="276">
        <v>0</v>
      </c>
      <c r="BR63" s="276">
        <v>340.20299999999997</v>
      </c>
      <c r="BS63" s="276">
        <v>0</v>
      </c>
      <c r="BT63" s="276">
        <v>1140</v>
      </c>
      <c r="BU63" s="277">
        <v>1609.528</v>
      </c>
      <c r="BV63" s="276">
        <v>0</v>
      </c>
      <c r="BW63" s="276">
        <v>0</v>
      </c>
      <c r="BX63" s="276">
        <v>0</v>
      </c>
      <c r="BY63" s="276">
        <v>0</v>
      </c>
      <c r="BZ63" s="276">
        <v>0</v>
      </c>
      <c r="CA63" s="276">
        <v>0</v>
      </c>
      <c r="CB63" s="276">
        <v>0</v>
      </c>
      <c r="CC63" s="276">
        <v>0</v>
      </c>
      <c r="CD63" s="276">
        <v>112.71599999999999</v>
      </c>
      <c r="CE63" s="276">
        <v>0</v>
      </c>
      <c r="CF63" s="276">
        <v>0</v>
      </c>
      <c r="CG63" s="276">
        <v>0</v>
      </c>
      <c r="CH63" s="125">
        <v>25.405999999999999</v>
      </c>
      <c r="CI63" s="156">
        <v>0</v>
      </c>
      <c r="CJ63" s="156">
        <v>0</v>
      </c>
      <c r="CK63" s="156">
        <v>0</v>
      </c>
      <c r="CL63" s="156">
        <v>0</v>
      </c>
      <c r="CM63" s="156">
        <v>0</v>
      </c>
      <c r="CN63" s="156">
        <v>0</v>
      </c>
      <c r="CO63" s="156">
        <v>0</v>
      </c>
      <c r="CP63" s="156">
        <v>0</v>
      </c>
      <c r="CQ63" s="156">
        <v>0</v>
      </c>
      <c r="CR63" s="156">
        <v>0</v>
      </c>
      <c r="CS63" s="239">
        <v>204.739</v>
      </c>
      <c r="CT63" s="928">
        <v>0</v>
      </c>
      <c r="CU63" s="137">
        <v>0</v>
      </c>
      <c r="CV63" s="137">
        <v>0</v>
      </c>
      <c r="CW63" s="137">
        <v>0</v>
      </c>
      <c r="CX63" s="137">
        <v>0</v>
      </c>
      <c r="CY63" s="137">
        <v>0</v>
      </c>
      <c r="CZ63" s="137">
        <v>0</v>
      </c>
      <c r="DA63" s="137">
        <v>0</v>
      </c>
      <c r="DB63" s="137">
        <v>0</v>
      </c>
      <c r="DC63" s="137">
        <v>0</v>
      </c>
      <c r="DD63" s="137">
        <v>0</v>
      </c>
      <c r="DE63" s="929">
        <v>0</v>
      </c>
      <c r="DF63" s="928">
        <v>0</v>
      </c>
      <c r="DG63" s="137">
        <v>0</v>
      </c>
      <c r="DH63" s="137">
        <v>0</v>
      </c>
      <c r="DI63" s="137">
        <v>0</v>
      </c>
      <c r="DJ63" s="137">
        <v>0</v>
      </c>
      <c r="DK63" s="137">
        <v>0</v>
      </c>
      <c r="DL63" s="137">
        <v>0</v>
      </c>
      <c r="DM63" s="137">
        <v>0</v>
      </c>
      <c r="DN63" s="137">
        <v>0</v>
      </c>
      <c r="DO63" s="137">
        <v>0</v>
      </c>
      <c r="DP63" s="137">
        <v>0</v>
      </c>
      <c r="DQ63" s="929">
        <v>0</v>
      </c>
      <c r="DR63" s="928">
        <v>0</v>
      </c>
      <c r="DS63" s="137">
        <v>0</v>
      </c>
      <c r="DT63" s="137">
        <v>0</v>
      </c>
      <c r="DU63" s="137">
        <v>0</v>
      </c>
      <c r="DV63" s="137">
        <v>0</v>
      </c>
      <c r="DW63" s="137">
        <v>0</v>
      </c>
      <c r="DX63" s="137">
        <v>0</v>
      </c>
      <c r="DY63" s="137">
        <v>0</v>
      </c>
      <c r="DZ63" s="137">
        <v>0</v>
      </c>
      <c r="EA63" s="137">
        <v>0</v>
      </c>
      <c r="EB63" s="137">
        <v>0</v>
      </c>
      <c r="EC63" s="929">
        <v>0</v>
      </c>
      <c r="ED63" s="186">
        <f t="shared" ref="ED63:ED71" si="238">SUM(N63:EC63)</f>
        <v>16678.982250000001</v>
      </c>
      <c r="EE63" s="32"/>
    </row>
    <row r="64" spans="1:183" ht="13.9" customHeight="1">
      <c r="A64" s="125" t="s">
        <v>265</v>
      </c>
      <c r="B64" s="258"/>
      <c r="C64">
        <v>0</v>
      </c>
      <c r="D64">
        <v>0</v>
      </c>
      <c r="E64">
        <v>0</v>
      </c>
      <c r="F64">
        <v>0</v>
      </c>
      <c r="G64">
        <v>0</v>
      </c>
      <c r="H64">
        <v>0</v>
      </c>
      <c r="I64">
        <v>0</v>
      </c>
      <c r="J64">
        <v>0</v>
      </c>
      <c r="K64">
        <v>0</v>
      </c>
      <c r="L64">
        <v>0</v>
      </c>
      <c r="N64" s="272">
        <v>0</v>
      </c>
      <c r="O64" s="272">
        <v>0</v>
      </c>
      <c r="P64" s="272">
        <v>0</v>
      </c>
      <c r="Q64" s="272">
        <v>0</v>
      </c>
      <c r="R64" s="272">
        <v>0</v>
      </c>
      <c r="S64" s="272">
        <v>0</v>
      </c>
      <c r="T64" s="272">
        <v>0</v>
      </c>
      <c r="U64" s="272">
        <v>0</v>
      </c>
      <c r="V64" s="272">
        <v>0</v>
      </c>
      <c r="W64" s="272">
        <v>0</v>
      </c>
      <c r="X64" s="272">
        <v>0</v>
      </c>
      <c r="Y64" s="272">
        <v>0</v>
      </c>
      <c r="Z64" s="174">
        <v>0</v>
      </c>
      <c r="AA64" s="272">
        <v>0</v>
      </c>
      <c r="AB64" s="272">
        <v>0</v>
      </c>
      <c r="AC64" s="272">
        <v>0</v>
      </c>
      <c r="AD64" s="272">
        <v>0</v>
      </c>
      <c r="AE64" s="272">
        <v>0</v>
      </c>
      <c r="AF64" s="272">
        <v>0</v>
      </c>
      <c r="AG64" s="272">
        <v>0</v>
      </c>
      <c r="AH64" s="272">
        <v>0</v>
      </c>
      <c r="AI64" s="272">
        <v>0</v>
      </c>
      <c r="AJ64" s="272">
        <v>0</v>
      </c>
      <c r="AK64" s="186">
        <v>0</v>
      </c>
      <c r="AL64" s="174">
        <v>0</v>
      </c>
      <c r="AM64" s="272">
        <v>0</v>
      </c>
      <c r="AN64" s="272">
        <v>167.20500000000001</v>
      </c>
      <c r="AO64" s="272">
        <v>0</v>
      </c>
      <c r="AP64" s="272">
        <v>0</v>
      </c>
      <c r="AQ64" s="272">
        <v>0</v>
      </c>
      <c r="AR64" s="272">
        <v>0</v>
      </c>
      <c r="AS64" s="272">
        <v>0</v>
      </c>
      <c r="AT64" s="272">
        <v>0</v>
      </c>
      <c r="AU64" s="272">
        <v>0</v>
      </c>
      <c r="AV64" s="272">
        <v>0</v>
      </c>
      <c r="AW64" s="272">
        <v>0</v>
      </c>
      <c r="AX64" s="174">
        <v>0</v>
      </c>
      <c r="AY64" s="272">
        <v>0</v>
      </c>
      <c r="AZ64" s="272">
        <v>0</v>
      </c>
      <c r="BA64" s="272">
        <v>0</v>
      </c>
      <c r="BB64" s="272">
        <v>0</v>
      </c>
      <c r="BC64" s="272">
        <v>2975</v>
      </c>
      <c r="BD64" s="272">
        <v>522.32000000000005</v>
      </c>
      <c r="BE64" s="272">
        <v>0</v>
      </c>
      <c r="BF64" s="272">
        <v>876.43100000000004</v>
      </c>
      <c r="BG64" s="272">
        <v>0</v>
      </c>
      <c r="BH64" s="272">
        <v>0</v>
      </c>
      <c r="BI64" s="186">
        <v>317.25</v>
      </c>
      <c r="BJ64" s="272">
        <v>706.9699999999998</v>
      </c>
      <c r="BK64" s="272">
        <v>0</v>
      </c>
      <c r="BL64" s="272">
        <v>0</v>
      </c>
      <c r="BM64" s="272">
        <v>267.26</v>
      </c>
      <c r="BN64" s="272">
        <v>0</v>
      </c>
      <c r="BO64" s="272">
        <v>0</v>
      </c>
      <c r="BP64" s="272">
        <v>0</v>
      </c>
      <c r="BQ64" s="272">
        <v>0</v>
      </c>
      <c r="BR64" s="272">
        <v>0</v>
      </c>
      <c r="BS64" s="272">
        <v>0</v>
      </c>
      <c r="BT64" s="272">
        <v>0</v>
      </c>
      <c r="BU64" s="186">
        <v>0</v>
      </c>
      <c r="BV64" s="272">
        <v>0</v>
      </c>
      <c r="BW64" s="272">
        <v>3.32</v>
      </c>
      <c r="BX64" s="272">
        <v>275.69100000000003</v>
      </c>
      <c r="BY64" s="272">
        <v>0</v>
      </c>
      <c r="BZ64" s="272">
        <v>0</v>
      </c>
      <c r="CA64" s="272">
        <v>0</v>
      </c>
      <c r="CB64" s="272">
        <v>0</v>
      </c>
      <c r="CC64" s="272">
        <v>0</v>
      </c>
      <c r="CD64" s="272">
        <v>0</v>
      </c>
      <c r="CE64" s="272">
        <v>0</v>
      </c>
      <c r="CF64" s="272">
        <v>0</v>
      </c>
      <c r="CG64" s="272">
        <v>0</v>
      </c>
      <c r="CH64" s="19">
        <v>0</v>
      </c>
      <c r="CI64" s="22">
        <v>0</v>
      </c>
      <c r="CJ64" s="22">
        <v>0</v>
      </c>
      <c r="CK64" s="22">
        <v>0</v>
      </c>
      <c r="CL64" s="22">
        <v>0</v>
      </c>
      <c r="CM64" s="22">
        <v>0</v>
      </c>
      <c r="CN64" s="22">
        <v>0</v>
      </c>
      <c r="CO64" s="22">
        <v>0</v>
      </c>
      <c r="CP64" s="22">
        <v>0</v>
      </c>
      <c r="CQ64" s="22">
        <v>0</v>
      </c>
      <c r="CR64" s="22">
        <v>0</v>
      </c>
      <c r="CS64" s="12">
        <v>0</v>
      </c>
      <c r="CT64" s="90">
        <v>0</v>
      </c>
      <c r="CU64" s="94">
        <v>0</v>
      </c>
      <c r="CV64" s="94">
        <v>0</v>
      </c>
      <c r="CW64" s="94">
        <v>0</v>
      </c>
      <c r="CX64" s="94">
        <v>0</v>
      </c>
      <c r="CY64" s="94">
        <v>0</v>
      </c>
      <c r="CZ64" s="94">
        <v>0</v>
      </c>
      <c r="DA64" s="94">
        <v>0</v>
      </c>
      <c r="DB64" s="94">
        <v>0</v>
      </c>
      <c r="DC64" s="94">
        <v>0</v>
      </c>
      <c r="DD64" s="94">
        <v>0</v>
      </c>
      <c r="DE64" s="28">
        <v>0</v>
      </c>
      <c r="DF64" s="90">
        <v>0</v>
      </c>
      <c r="DG64" s="94">
        <v>0</v>
      </c>
      <c r="DH64" s="94">
        <v>0</v>
      </c>
      <c r="DI64" s="94">
        <v>0</v>
      </c>
      <c r="DJ64" s="94">
        <v>0</v>
      </c>
      <c r="DK64" s="94">
        <v>0</v>
      </c>
      <c r="DL64" s="94">
        <v>0</v>
      </c>
      <c r="DM64" s="94">
        <v>0</v>
      </c>
      <c r="DN64" s="94">
        <v>0</v>
      </c>
      <c r="DO64" s="94">
        <v>0</v>
      </c>
      <c r="DP64" s="94">
        <v>0</v>
      </c>
      <c r="DQ64" s="28">
        <v>0</v>
      </c>
      <c r="DR64" s="90">
        <v>0</v>
      </c>
      <c r="DS64" s="94">
        <v>0</v>
      </c>
      <c r="DT64" s="94">
        <v>0</v>
      </c>
      <c r="DU64" s="94">
        <v>0</v>
      </c>
      <c r="DV64" s="94">
        <v>0</v>
      </c>
      <c r="DW64" s="94">
        <v>0</v>
      </c>
      <c r="DX64" s="94">
        <v>0</v>
      </c>
      <c r="DY64" s="94">
        <v>0</v>
      </c>
      <c r="DZ64" s="94">
        <v>0</v>
      </c>
      <c r="EA64" s="94">
        <v>0</v>
      </c>
      <c r="EB64" s="94">
        <v>0</v>
      </c>
      <c r="EC64" s="28">
        <v>0</v>
      </c>
      <c r="ED64" s="186">
        <f t="shared" si="238"/>
        <v>6111.4469999999992</v>
      </c>
      <c r="EE64" s="32"/>
    </row>
    <row r="65" spans="1:138" ht="13.9" customHeight="1">
      <c r="A65" s="125" t="s">
        <v>1587</v>
      </c>
      <c r="B65" s="258"/>
      <c r="C65">
        <v>0</v>
      </c>
      <c r="D65">
        <v>0</v>
      </c>
      <c r="E65">
        <v>0</v>
      </c>
      <c r="F65">
        <v>0</v>
      </c>
      <c r="G65">
        <v>0</v>
      </c>
      <c r="H65">
        <v>0</v>
      </c>
      <c r="I65">
        <v>0</v>
      </c>
      <c r="J65">
        <v>0</v>
      </c>
      <c r="K65">
        <v>0</v>
      </c>
      <c r="L65">
        <v>0</v>
      </c>
      <c r="N65" s="272">
        <v>0</v>
      </c>
      <c r="O65" s="272">
        <v>0</v>
      </c>
      <c r="P65" s="272">
        <v>0</v>
      </c>
      <c r="Q65" s="272">
        <v>0</v>
      </c>
      <c r="R65" s="272">
        <v>0</v>
      </c>
      <c r="S65" s="272">
        <v>0</v>
      </c>
      <c r="T65" s="272">
        <v>0</v>
      </c>
      <c r="U65" s="272">
        <v>0</v>
      </c>
      <c r="V65" s="272">
        <v>0</v>
      </c>
      <c r="W65" s="272">
        <v>0</v>
      </c>
      <c r="X65" s="272">
        <v>0</v>
      </c>
      <c r="Y65" s="272">
        <v>0</v>
      </c>
      <c r="Z65" s="174">
        <v>1114.2919999999999</v>
      </c>
      <c r="AA65" s="272">
        <v>0</v>
      </c>
      <c r="AB65" s="272">
        <v>0</v>
      </c>
      <c r="AC65" s="272">
        <v>0</v>
      </c>
      <c r="AD65" s="272">
        <v>0</v>
      </c>
      <c r="AE65" s="272">
        <v>0</v>
      </c>
      <c r="AF65" s="272">
        <v>0</v>
      </c>
      <c r="AG65" s="272">
        <v>0</v>
      </c>
      <c r="AH65" s="272">
        <v>0</v>
      </c>
      <c r="AI65" s="272">
        <v>0</v>
      </c>
      <c r="AJ65" s="272">
        <v>0</v>
      </c>
      <c r="AK65" s="186">
        <v>0</v>
      </c>
      <c r="AL65" s="174">
        <v>0</v>
      </c>
      <c r="AM65" s="272">
        <v>0</v>
      </c>
      <c r="AN65" s="272">
        <v>0</v>
      </c>
      <c r="AO65" s="272">
        <v>1728.8520000000001</v>
      </c>
      <c r="AP65" s="272">
        <v>8084.2386099999994</v>
      </c>
      <c r="AQ65" s="272">
        <v>316.774</v>
      </c>
      <c r="AR65" s="272">
        <v>0</v>
      </c>
      <c r="AS65" s="272">
        <v>0</v>
      </c>
      <c r="AT65" s="272">
        <v>0</v>
      </c>
      <c r="AU65" s="272">
        <v>0</v>
      </c>
      <c r="AV65" s="272">
        <v>438.35</v>
      </c>
      <c r="AW65" s="272">
        <v>0</v>
      </c>
      <c r="AX65" s="174">
        <v>0</v>
      </c>
      <c r="AY65" s="272">
        <v>0</v>
      </c>
      <c r="AZ65" s="272">
        <v>0</v>
      </c>
      <c r="BA65" s="272">
        <v>0</v>
      </c>
      <c r="BB65" s="272">
        <v>0</v>
      </c>
      <c r="BC65" s="272">
        <v>0</v>
      </c>
      <c r="BD65" s="272">
        <v>0</v>
      </c>
      <c r="BE65" s="272">
        <v>0</v>
      </c>
      <c r="BF65" s="272">
        <v>529.31600000000003</v>
      </c>
      <c r="BG65" s="272">
        <v>0</v>
      </c>
      <c r="BH65" s="272">
        <v>0</v>
      </c>
      <c r="BI65" s="186">
        <v>0</v>
      </c>
      <c r="BJ65" s="272">
        <v>0</v>
      </c>
      <c r="BK65" s="272">
        <v>0</v>
      </c>
      <c r="BL65" s="272">
        <v>0</v>
      </c>
      <c r="BM65" s="272">
        <v>399.20500000000004</v>
      </c>
      <c r="BN65" s="272">
        <v>0</v>
      </c>
      <c r="BO65" s="272">
        <v>0</v>
      </c>
      <c r="BP65" s="272">
        <v>0</v>
      </c>
      <c r="BQ65" s="272">
        <v>412.01799999999997</v>
      </c>
      <c r="BR65" s="272">
        <v>888.34500000000003</v>
      </c>
      <c r="BS65" s="272">
        <v>0</v>
      </c>
      <c r="BT65" s="272">
        <v>0</v>
      </c>
      <c r="BU65" s="186">
        <v>1146.3400000000001</v>
      </c>
      <c r="BV65" s="272">
        <v>0</v>
      </c>
      <c r="BW65" s="272">
        <v>0</v>
      </c>
      <c r="BX65" s="272">
        <v>1738.8770000000002</v>
      </c>
      <c r="BY65" s="272">
        <v>0</v>
      </c>
      <c r="BZ65" s="272">
        <v>0</v>
      </c>
      <c r="CA65" s="272">
        <v>0</v>
      </c>
      <c r="CB65" s="272">
        <v>0</v>
      </c>
      <c r="CC65" s="272">
        <v>0</v>
      </c>
      <c r="CD65" s="272">
        <v>0</v>
      </c>
      <c r="CE65" s="272">
        <v>0</v>
      </c>
      <c r="CF65" s="272">
        <v>0</v>
      </c>
      <c r="CG65" s="272">
        <v>0</v>
      </c>
      <c r="CH65" s="19">
        <v>0</v>
      </c>
      <c r="CI65" s="22">
        <v>0</v>
      </c>
      <c r="CJ65" s="22">
        <v>0</v>
      </c>
      <c r="CK65" s="22">
        <v>0</v>
      </c>
      <c r="CL65" s="22">
        <v>0</v>
      </c>
      <c r="CM65" s="22">
        <v>0</v>
      </c>
      <c r="CN65" s="22">
        <v>0</v>
      </c>
      <c r="CO65" s="22">
        <v>538.01400000000001</v>
      </c>
      <c r="CP65" s="22">
        <v>0</v>
      </c>
      <c r="CQ65" s="22">
        <v>188.26400000000001</v>
      </c>
      <c r="CR65" s="22">
        <v>0</v>
      </c>
      <c r="CS65" s="12">
        <v>0</v>
      </c>
      <c r="CT65" s="90">
        <v>0</v>
      </c>
      <c r="CU65" s="94">
        <v>259.09800000000001</v>
      </c>
      <c r="CV65" s="94">
        <v>0</v>
      </c>
      <c r="CW65" s="94">
        <v>0</v>
      </c>
      <c r="CX65" s="94">
        <v>0</v>
      </c>
      <c r="CY65" s="94">
        <v>0</v>
      </c>
      <c r="CZ65" s="94">
        <v>0</v>
      </c>
      <c r="DA65" s="94">
        <v>0</v>
      </c>
      <c r="DB65" s="94">
        <v>0</v>
      </c>
      <c r="DC65" s="94">
        <v>0</v>
      </c>
      <c r="DD65" s="94">
        <v>0</v>
      </c>
      <c r="DE65" s="28">
        <v>0</v>
      </c>
      <c r="DF65" s="90">
        <v>0</v>
      </c>
      <c r="DG65" s="94">
        <v>0</v>
      </c>
      <c r="DH65" s="94">
        <v>0</v>
      </c>
      <c r="DI65" s="94">
        <v>0</v>
      </c>
      <c r="DJ65" s="94">
        <v>0</v>
      </c>
      <c r="DK65" s="94">
        <v>0</v>
      </c>
      <c r="DL65" s="94">
        <v>0</v>
      </c>
      <c r="DM65" s="94">
        <v>0</v>
      </c>
      <c r="DN65" s="94">
        <v>0</v>
      </c>
      <c r="DO65" s="94">
        <v>0</v>
      </c>
      <c r="DP65" s="94">
        <v>0</v>
      </c>
      <c r="DQ65" s="28">
        <v>0</v>
      </c>
      <c r="DR65" s="90">
        <v>0</v>
      </c>
      <c r="DS65" s="94">
        <v>0</v>
      </c>
      <c r="DT65" s="94">
        <v>0</v>
      </c>
      <c r="DU65" s="94">
        <v>0</v>
      </c>
      <c r="DV65" s="94">
        <v>0</v>
      </c>
      <c r="DW65" s="94">
        <v>0</v>
      </c>
      <c r="DX65" s="94">
        <v>0</v>
      </c>
      <c r="DY65" s="94">
        <v>0</v>
      </c>
      <c r="DZ65" s="94">
        <v>0</v>
      </c>
      <c r="EA65" s="94">
        <v>0</v>
      </c>
      <c r="EB65" s="94">
        <v>0</v>
      </c>
      <c r="EC65" s="28">
        <v>0</v>
      </c>
      <c r="ED65" s="186">
        <f t="shared" si="238"/>
        <v>17781.983609999999</v>
      </c>
      <c r="EE65" s="32"/>
    </row>
    <row r="66" spans="1:138" ht="13.9" customHeight="1">
      <c r="A66" s="125" t="s">
        <v>847</v>
      </c>
      <c r="B66" s="258"/>
      <c r="C66">
        <v>0</v>
      </c>
      <c r="D66">
        <v>0</v>
      </c>
      <c r="E66">
        <v>0</v>
      </c>
      <c r="F66">
        <v>0</v>
      </c>
      <c r="G66">
        <v>0</v>
      </c>
      <c r="H66">
        <v>0</v>
      </c>
      <c r="I66">
        <v>0</v>
      </c>
      <c r="J66">
        <v>0</v>
      </c>
      <c r="K66">
        <v>0</v>
      </c>
      <c r="L66">
        <v>0</v>
      </c>
      <c r="N66" s="272">
        <v>0</v>
      </c>
      <c r="O66" s="272">
        <v>0</v>
      </c>
      <c r="P66" s="272">
        <v>0</v>
      </c>
      <c r="Q66" s="272">
        <v>0</v>
      </c>
      <c r="R66" s="272">
        <v>0</v>
      </c>
      <c r="S66" s="272">
        <v>0</v>
      </c>
      <c r="T66" s="272">
        <v>0</v>
      </c>
      <c r="U66" s="272">
        <v>0</v>
      </c>
      <c r="V66" s="272">
        <v>0</v>
      </c>
      <c r="W66" s="272">
        <v>0</v>
      </c>
      <c r="X66" s="272">
        <v>543.26599999999996</v>
      </c>
      <c r="Y66" s="272">
        <v>0</v>
      </c>
      <c r="Z66" s="174">
        <v>375.495</v>
      </c>
      <c r="AA66" s="272">
        <v>0</v>
      </c>
      <c r="AB66" s="272">
        <v>0</v>
      </c>
      <c r="AC66" s="272">
        <v>212.77</v>
      </c>
      <c r="AD66" s="272">
        <v>0</v>
      </c>
      <c r="AE66" s="272">
        <v>0</v>
      </c>
      <c r="AF66" s="272">
        <v>0</v>
      </c>
      <c r="AG66" s="272">
        <v>0</v>
      </c>
      <c r="AH66" s="272">
        <v>0</v>
      </c>
      <c r="AI66" s="272">
        <v>0</v>
      </c>
      <c r="AJ66" s="272">
        <v>0</v>
      </c>
      <c r="AK66" s="186">
        <v>0</v>
      </c>
      <c r="AL66" s="174">
        <v>0</v>
      </c>
      <c r="AM66" s="272">
        <v>0</v>
      </c>
      <c r="AN66" s="272">
        <v>0</v>
      </c>
      <c r="AO66" s="272">
        <v>0</v>
      </c>
      <c r="AP66" s="272">
        <v>0</v>
      </c>
      <c r="AQ66" s="272">
        <v>6349.6</v>
      </c>
      <c r="AR66" s="272">
        <v>63.784999999999997</v>
      </c>
      <c r="AS66" s="272">
        <v>0</v>
      </c>
      <c r="AT66" s="272">
        <v>1446.7335899999998</v>
      </c>
      <c r="AU66" s="272">
        <v>0</v>
      </c>
      <c r="AV66" s="272">
        <v>0</v>
      </c>
      <c r="AW66" s="272">
        <v>0</v>
      </c>
      <c r="AX66" s="174">
        <v>0</v>
      </c>
      <c r="AY66" s="272">
        <v>0</v>
      </c>
      <c r="AZ66" s="272">
        <v>0</v>
      </c>
      <c r="BA66" s="272">
        <v>0</v>
      </c>
      <c r="BB66" s="272">
        <v>0</v>
      </c>
      <c r="BC66" s="272">
        <v>0</v>
      </c>
      <c r="BD66" s="272">
        <v>0</v>
      </c>
      <c r="BE66" s="272">
        <v>8078.8389999999999</v>
      </c>
      <c r="BF66" s="272">
        <v>1588.9989999999998</v>
      </c>
      <c r="BG66" s="272">
        <v>0</v>
      </c>
      <c r="BH66" s="272">
        <v>0</v>
      </c>
      <c r="BI66" s="186">
        <v>0</v>
      </c>
      <c r="BJ66" s="272">
        <v>0</v>
      </c>
      <c r="BK66" s="272">
        <v>0</v>
      </c>
      <c r="BL66" s="272">
        <v>702.97</v>
      </c>
      <c r="BM66" s="272">
        <v>0</v>
      </c>
      <c r="BN66" s="272">
        <v>0</v>
      </c>
      <c r="BO66" s="272">
        <v>0</v>
      </c>
      <c r="BP66" s="272">
        <v>0</v>
      </c>
      <c r="BQ66" s="272">
        <v>0</v>
      </c>
      <c r="BR66" s="272">
        <v>0</v>
      </c>
      <c r="BS66" s="272">
        <v>0</v>
      </c>
      <c r="BT66" s="272">
        <v>0</v>
      </c>
      <c r="BU66" s="186">
        <v>0</v>
      </c>
      <c r="BV66" s="272">
        <v>0</v>
      </c>
      <c r="BW66" s="272">
        <v>0</v>
      </c>
      <c r="BX66" s="272">
        <v>0</v>
      </c>
      <c r="BY66" s="272">
        <v>0</v>
      </c>
      <c r="BZ66" s="272">
        <v>215.14649999999997</v>
      </c>
      <c r="CA66" s="272">
        <v>126.13500000000001</v>
      </c>
      <c r="CB66" s="272">
        <v>0</v>
      </c>
      <c r="CC66" s="272">
        <v>0</v>
      </c>
      <c r="CD66" s="272">
        <v>0</v>
      </c>
      <c r="CE66" s="272">
        <v>0</v>
      </c>
      <c r="CF66" s="272">
        <v>0</v>
      </c>
      <c r="CG66" s="272">
        <v>0</v>
      </c>
      <c r="CH66" s="19">
        <v>0</v>
      </c>
      <c r="CI66" s="22">
        <v>0</v>
      </c>
      <c r="CJ66" s="22">
        <v>718.37699999999995</v>
      </c>
      <c r="CK66" s="22">
        <v>0</v>
      </c>
      <c r="CL66" s="22">
        <v>0</v>
      </c>
      <c r="CM66" s="22">
        <v>0</v>
      </c>
      <c r="CN66" s="22">
        <v>0</v>
      </c>
      <c r="CO66" s="22">
        <v>0</v>
      </c>
      <c r="CP66" s="22">
        <v>0</v>
      </c>
      <c r="CQ66" s="22">
        <v>0</v>
      </c>
      <c r="CR66" s="22">
        <v>0</v>
      </c>
      <c r="CS66" s="12">
        <v>277.59399999999999</v>
      </c>
      <c r="CT66" s="90">
        <v>2826.1509999999998</v>
      </c>
      <c r="CU66" s="94">
        <v>0</v>
      </c>
      <c r="CV66" s="94">
        <v>0</v>
      </c>
      <c r="CW66" s="94">
        <v>0</v>
      </c>
      <c r="CX66" s="94">
        <v>0</v>
      </c>
      <c r="CY66" s="94">
        <v>0</v>
      </c>
      <c r="CZ66" s="94">
        <v>0</v>
      </c>
      <c r="DA66" s="94">
        <v>0</v>
      </c>
      <c r="DB66" s="94">
        <v>0</v>
      </c>
      <c r="DC66" s="94">
        <v>0</v>
      </c>
      <c r="DD66" s="94">
        <v>0</v>
      </c>
      <c r="DE66" s="28">
        <v>0</v>
      </c>
      <c r="DF66" s="90">
        <v>0</v>
      </c>
      <c r="DG66" s="94">
        <v>0</v>
      </c>
      <c r="DH66" s="94">
        <v>0</v>
      </c>
      <c r="DI66" s="94">
        <v>0</v>
      </c>
      <c r="DJ66" s="94">
        <v>0</v>
      </c>
      <c r="DK66" s="94">
        <v>0</v>
      </c>
      <c r="DL66" s="94">
        <v>0</v>
      </c>
      <c r="DM66" s="94">
        <v>0</v>
      </c>
      <c r="DN66" s="94">
        <v>0</v>
      </c>
      <c r="DO66" s="94">
        <v>0</v>
      </c>
      <c r="DP66" s="94">
        <v>0</v>
      </c>
      <c r="DQ66" s="28">
        <v>0</v>
      </c>
      <c r="DR66" s="90">
        <v>0</v>
      </c>
      <c r="DS66" s="94">
        <v>0</v>
      </c>
      <c r="DT66" s="94">
        <v>0</v>
      </c>
      <c r="DU66" s="94">
        <v>0</v>
      </c>
      <c r="DV66" s="94">
        <v>0</v>
      </c>
      <c r="DW66" s="94">
        <v>0</v>
      </c>
      <c r="DX66" s="94">
        <v>0</v>
      </c>
      <c r="DY66" s="94">
        <v>0</v>
      </c>
      <c r="DZ66" s="94">
        <v>0</v>
      </c>
      <c r="EA66" s="94">
        <v>0</v>
      </c>
      <c r="EB66" s="94">
        <v>0</v>
      </c>
      <c r="EC66" s="28">
        <v>0</v>
      </c>
      <c r="ED66" s="186">
        <f t="shared" si="238"/>
        <v>23525.861089999999</v>
      </c>
      <c r="EE66" s="32"/>
    </row>
    <row r="67" spans="1:138" ht="13.9" customHeight="1">
      <c r="A67" s="125" t="s">
        <v>833</v>
      </c>
      <c r="B67" s="258"/>
      <c r="C67">
        <v>0</v>
      </c>
      <c r="D67">
        <v>0</v>
      </c>
      <c r="E67">
        <v>0</v>
      </c>
      <c r="F67">
        <v>0</v>
      </c>
      <c r="G67">
        <v>0</v>
      </c>
      <c r="H67">
        <v>0</v>
      </c>
      <c r="I67">
        <v>0</v>
      </c>
      <c r="J67">
        <v>0</v>
      </c>
      <c r="K67">
        <v>0</v>
      </c>
      <c r="L67">
        <v>0</v>
      </c>
      <c r="N67" s="272">
        <v>0</v>
      </c>
      <c r="O67" s="272">
        <v>0</v>
      </c>
      <c r="P67" s="272">
        <v>0</v>
      </c>
      <c r="Q67" s="272">
        <v>0</v>
      </c>
      <c r="R67" s="272">
        <v>0</v>
      </c>
      <c r="S67" s="272">
        <v>0</v>
      </c>
      <c r="T67" s="272">
        <v>0</v>
      </c>
      <c r="U67" s="272">
        <v>0</v>
      </c>
      <c r="V67" s="272">
        <v>0</v>
      </c>
      <c r="W67" s="272">
        <v>0</v>
      </c>
      <c r="X67" s="272">
        <v>0</v>
      </c>
      <c r="Y67" s="272">
        <v>600.73</v>
      </c>
      <c r="Z67" s="174">
        <v>0</v>
      </c>
      <c r="AA67" s="272">
        <v>0</v>
      </c>
      <c r="AB67" s="272">
        <v>0</v>
      </c>
      <c r="AC67" s="272">
        <v>0</v>
      </c>
      <c r="AD67" s="272">
        <v>0</v>
      </c>
      <c r="AE67" s="272">
        <v>0</v>
      </c>
      <c r="AF67" s="272">
        <v>0</v>
      </c>
      <c r="AG67" s="272">
        <v>0</v>
      </c>
      <c r="AH67" s="272">
        <v>0</v>
      </c>
      <c r="AI67" s="272">
        <v>0</v>
      </c>
      <c r="AJ67" s="272">
        <v>0</v>
      </c>
      <c r="AK67" s="186">
        <v>0</v>
      </c>
      <c r="AL67" s="174">
        <v>2.7655000000000003</v>
      </c>
      <c r="AM67" s="272">
        <v>0</v>
      </c>
      <c r="AN67" s="272">
        <v>0</v>
      </c>
      <c r="AO67" s="272">
        <v>0</v>
      </c>
      <c r="AP67" s="272">
        <v>0</v>
      </c>
      <c r="AQ67" s="272">
        <v>0</v>
      </c>
      <c r="AR67" s="272">
        <v>7629.1310000000003</v>
      </c>
      <c r="AS67" s="272">
        <v>0</v>
      </c>
      <c r="AT67" s="272">
        <v>0</v>
      </c>
      <c r="AU67" s="272">
        <v>0</v>
      </c>
      <c r="AV67" s="272">
        <v>0</v>
      </c>
      <c r="AW67" s="272">
        <v>0</v>
      </c>
      <c r="AX67" s="174">
        <v>0</v>
      </c>
      <c r="AY67" s="272">
        <v>0</v>
      </c>
      <c r="AZ67" s="272">
        <v>0</v>
      </c>
      <c r="BA67" s="272">
        <v>0</v>
      </c>
      <c r="BB67" s="272">
        <v>0</v>
      </c>
      <c r="BC67" s="272">
        <v>0</v>
      </c>
      <c r="BD67" s="272">
        <v>0</v>
      </c>
      <c r="BE67" s="272">
        <v>528.22</v>
      </c>
      <c r="BF67" s="272">
        <v>0</v>
      </c>
      <c r="BG67" s="272">
        <v>0</v>
      </c>
      <c r="BH67" s="272">
        <v>0</v>
      </c>
      <c r="BI67" s="186">
        <v>0</v>
      </c>
      <c r="BJ67" s="272">
        <v>581.67100000000005</v>
      </c>
      <c r="BK67" s="272">
        <v>0</v>
      </c>
      <c r="BL67" s="272">
        <v>0</v>
      </c>
      <c r="BM67" s="272">
        <v>0</v>
      </c>
      <c r="BN67" s="272">
        <v>0</v>
      </c>
      <c r="BO67" s="272">
        <v>0</v>
      </c>
      <c r="BP67" s="272">
        <v>0</v>
      </c>
      <c r="BQ67" s="272">
        <v>0</v>
      </c>
      <c r="BR67" s="272">
        <v>0</v>
      </c>
      <c r="BS67" s="272">
        <v>0</v>
      </c>
      <c r="BT67" s="272">
        <v>270.26</v>
      </c>
      <c r="BU67" s="186">
        <v>0</v>
      </c>
      <c r="BV67" s="272">
        <v>0</v>
      </c>
      <c r="BW67" s="272">
        <v>0</v>
      </c>
      <c r="BX67" s="272">
        <v>0</v>
      </c>
      <c r="BY67" s="272">
        <v>0</v>
      </c>
      <c r="BZ67" s="272">
        <v>0</v>
      </c>
      <c r="CA67" s="272">
        <v>0</v>
      </c>
      <c r="CB67" s="272">
        <v>0</v>
      </c>
      <c r="CC67" s="272">
        <v>0</v>
      </c>
      <c r="CD67" s="272">
        <v>0</v>
      </c>
      <c r="CE67" s="272">
        <v>0</v>
      </c>
      <c r="CF67" s="272">
        <v>0</v>
      </c>
      <c r="CG67" s="272">
        <v>0</v>
      </c>
      <c r="CH67" s="19">
        <v>0</v>
      </c>
      <c r="CI67" s="22">
        <v>0</v>
      </c>
      <c r="CJ67" s="22">
        <v>0</v>
      </c>
      <c r="CK67" s="22">
        <v>0</v>
      </c>
      <c r="CL67" s="22">
        <v>0</v>
      </c>
      <c r="CM67" s="22">
        <v>0</v>
      </c>
      <c r="CN67" s="22">
        <v>0</v>
      </c>
      <c r="CO67" s="22">
        <v>0</v>
      </c>
      <c r="CP67" s="22">
        <v>0</v>
      </c>
      <c r="CQ67" s="22">
        <v>0</v>
      </c>
      <c r="CR67" s="22">
        <v>0</v>
      </c>
      <c r="CS67" s="12">
        <v>0</v>
      </c>
      <c r="CT67" s="90">
        <v>0</v>
      </c>
      <c r="CU67" s="94">
        <v>0</v>
      </c>
      <c r="CV67" s="94">
        <v>0</v>
      </c>
      <c r="CW67" s="94">
        <v>0</v>
      </c>
      <c r="CX67" s="94">
        <v>0</v>
      </c>
      <c r="CY67" s="94">
        <v>0</v>
      </c>
      <c r="CZ67" s="94">
        <v>0</v>
      </c>
      <c r="DA67" s="94">
        <v>0</v>
      </c>
      <c r="DB67" s="94">
        <v>0</v>
      </c>
      <c r="DC67" s="94">
        <v>0</v>
      </c>
      <c r="DD67" s="94">
        <v>0</v>
      </c>
      <c r="DE67" s="28">
        <v>0</v>
      </c>
      <c r="DF67" s="90">
        <v>0</v>
      </c>
      <c r="DG67" s="94">
        <v>0</v>
      </c>
      <c r="DH67" s="94">
        <v>0</v>
      </c>
      <c r="DI67" s="94">
        <v>0</v>
      </c>
      <c r="DJ67" s="94">
        <v>0</v>
      </c>
      <c r="DK67" s="94">
        <v>0</v>
      </c>
      <c r="DL67" s="94">
        <v>0</v>
      </c>
      <c r="DM67" s="94">
        <v>0</v>
      </c>
      <c r="DN67" s="94">
        <v>0</v>
      </c>
      <c r="DO67" s="94">
        <v>0</v>
      </c>
      <c r="DP67" s="94">
        <v>0</v>
      </c>
      <c r="DQ67" s="28">
        <v>0</v>
      </c>
      <c r="DR67" s="90">
        <v>0</v>
      </c>
      <c r="DS67" s="94">
        <v>0</v>
      </c>
      <c r="DT67" s="94">
        <v>0</v>
      </c>
      <c r="DU67" s="94">
        <v>0</v>
      </c>
      <c r="DV67" s="94">
        <v>0</v>
      </c>
      <c r="DW67" s="94">
        <v>0</v>
      </c>
      <c r="DX67" s="94">
        <v>0</v>
      </c>
      <c r="DY67" s="94">
        <v>0</v>
      </c>
      <c r="DZ67" s="94">
        <v>0</v>
      </c>
      <c r="EA67" s="94">
        <v>0</v>
      </c>
      <c r="EB67" s="94">
        <v>0</v>
      </c>
      <c r="EC67" s="28">
        <v>0</v>
      </c>
      <c r="ED67" s="186">
        <f t="shared" si="238"/>
        <v>9612.7775000000001</v>
      </c>
      <c r="EE67" s="32"/>
    </row>
    <row r="68" spans="1:138" ht="13.9" customHeight="1">
      <c r="A68" s="125" t="s">
        <v>975</v>
      </c>
      <c r="B68" s="258"/>
      <c r="C68">
        <v>0</v>
      </c>
      <c r="D68">
        <v>0</v>
      </c>
      <c r="E68">
        <v>0</v>
      </c>
      <c r="F68">
        <v>0</v>
      </c>
      <c r="G68">
        <v>0</v>
      </c>
      <c r="H68">
        <v>0</v>
      </c>
      <c r="I68">
        <v>0</v>
      </c>
      <c r="J68">
        <v>0</v>
      </c>
      <c r="K68">
        <v>0</v>
      </c>
      <c r="L68">
        <v>0</v>
      </c>
      <c r="N68" s="272">
        <v>0</v>
      </c>
      <c r="O68" s="272">
        <v>0</v>
      </c>
      <c r="P68" s="272">
        <v>0</v>
      </c>
      <c r="Q68" s="272">
        <v>0</v>
      </c>
      <c r="R68" s="272">
        <v>0</v>
      </c>
      <c r="S68" s="272">
        <v>0</v>
      </c>
      <c r="T68" s="272">
        <v>0</v>
      </c>
      <c r="U68" s="272">
        <v>0</v>
      </c>
      <c r="V68" s="272">
        <v>0</v>
      </c>
      <c r="W68" s="272">
        <v>0</v>
      </c>
      <c r="X68" s="272">
        <v>54.560700000000004</v>
      </c>
      <c r="Y68" s="272">
        <v>0</v>
      </c>
      <c r="Z68" s="174">
        <v>330.125</v>
      </c>
      <c r="AA68" s="272">
        <v>0</v>
      </c>
      <c r="AB68" s="272">
        <v>0</v>
      </c>
      <c r="AC68" s="272">
        <v>0</v>
      </c>
      <c r="AD68" s="272">
        <v>0</v>
      </c>
      <c r="AE68" s="272">
        <v>0</v>
      </c>
      <c r="AF68" s="272">
        <v>0</v>
      </c>
      <c r="AG68" s="272">
        <v>0</v>
      </c>
      <c r="AH68" s="272">
        <v>0</v>
      </c>
      <c r="AI68" s="272">
        <v>0</v>
      </c>
      <c r="AJ68" s="272">
        <v>0</v>
      </c>
      <c r="AK68" s="186">
        <v>0</v>
      </c>
      <c r="AL68" s="174">
        <v>0</v>
      </c>
      <c r="AM68" s="272">
        <v>0</v>
      </c>
      <c r="AN68" s="272">
        <v>0</v>
      </c>
      <c r="AO68" s="272">
        <v>0</v>
      </c>
      <c r="AP68" s="272">
        <v>0</v>
      </c>
      <c r="AQ68" s="272">
        <v>0</v>
      </c>
      <c r="AR68" s="272">
        <v>0</v>
      </c>
      <c r="AS68" s="272">
        <v>0</v>
      </c>
      <c r="AT68" s="272">
        <v>0</v>
      </c>
      <c r="AU68" s="272">
        <v>99.468999999999994</v>
      </c>
      <c r="AV68" s="272">
        <v>0</v>
      </c>
      <c r="AW68" s="272">
        <v>0</v>
      </c>
      <c r="AX68" s="174">
        <v>0</v>
      </c>
      <c r="AY68" s="272">
        <v>0</v>
      </c>
      <c r="AZ68" s="272">
        <v>0</v>
      </c>
      <c r="BA68" s="272">
        <v>0</v>
      </c>
      <c r="BB68" s="272">
        <v>0</v>
      </c>
      <c r="BC68" s="272">
        <v>0</v>
      </c>
      <c r="BD68" s="272">
        <v>0</v>
      </c>
      <c r="BE68" s="272">
        <v>191.44400000000002</v>
      </c>
      <c r="BF68" s="272">
        <v>377.89499999999998</v>
      </c>
      <c r="BG68" s="272">
        <v>0</v>
      </c>
      <c r="BH68" s="272">
        <v>0</v>
      </c>
      <c r="BI68" s="186">
        <v>0</v>
      </c>
      <c r="BJ68" s="272">
        <v>0</v>
      </c>
      <c r="BK68" s="272">
        <v>39.5</v>
      </c>
      <c r="BL68" s="272">
        <v>0</v>
      </c>
      <c r="BM68" s="272">
        <v>0</v>
      </c>
      <c r="BN68" s="272">
        <v>0</v>
      </c>
      <c r="BO68" s="272">
        <v>0</v>
      </c>
      <c r="BP68" s="272">
        <v>0</v>
      </c>
      <c r="BQ68" s="272">
        <v>307.95600000000002</v>
      </c>
      <c r="BR68" s="272">
        <v>0</v>
      </c>
      <c r="BS68" s="272">
        <v>0</v>
      </c>
      <c r="BT68" s="272">
        <v>0</v>
      </c>
      <c r="BU68" s="186">
        <v>0</v>
      </c>
      <c r="BV68" s="272">
        <v>163.928</v>
      </c>
      <c r="BW68" s="272">
        <v>0</v>
      </c>
      <c r="BX68" s="272">
        <v>0</v>
      </c>
      <c r="BY68" s="272">
        <v>0</v>
      </c>
      <c r="BZ68" s="272">
        <v>0</v>
      </c>
      <c r="CA68" s="272">
        <v>0</v>
      </c>
      <c r="CB68" s="272">
        <v>0</v>
      </c>
      <c r="CC68" s="272">
        <v>0</v>
      </c>
      <c r="CD68" s="272">
        <v>0</v>
      </c>
      <c r="CE68" s="272">
        <v>0</v>
      </c>
      <c r="CF68" s="272">
        <v>0</v>
      </c>
      <c r="CG68" s="272">
        <v>0</v>
      </c>
      <c r="CH68" s="19">
        <v>0</v>
      </c>
      <c r="CI68" s="22">
        <v>0</v>
      </c>
      <c r="CJ68" s="22">
        <v>0</v>
      </c>
      <c r="CK68" s="22">
        <v>0</v>
      </c>
      <c r="CL68" s="22">
        <v>0</v>
      </c>
      <c r="CM68" s="22">
        <v>0</v>
      </c>
      <c r="CN68" s="22">
        <v>0</v>
      </c>
      <c r="CO68" s="22">
        <v>0</v>
      </c>
      <c r="CP68" s="22">
        <v>0</v>
      </c>
      <c r="CQ68" s="22">
        <v>0</v>
      </c>
      <c r="CR68" s="22">
        <v>0</v>
      </c>
      <c r="CS68" s="12">
        <v>0</v>
      </c>
      <c r="CT68" s="90">
        <v>0</v>
      </c>
      <c r="CU68" s="94">
        <v>0</v>
      </c>
      <c r="CV68" s="94">
        <v>0</v>
      </c>
      <c r="CW68" s="94">
        <v>0</v>
      </c>
      <c r="CX68" s="94">
        <v>0</v>
      </c>
      <c r="CY68" s="94">
        <v>0</v>
      </c>
      <c r="CZ68" s="94">
        <v>0</v>
      </c>
      <c r="DA68" s="94">
        <v>0</v>
      </c>
      <c r="DB68" s="94">
        <v>0</v>
      </c>
      <c r="DC68" s="94">
        <v>0</v>
      </c>
      <c r="DD68" s="94">
        <v>0</v>
      </c>
      <c r="DE68" s="28">
        <v>0</v>
      </c>
      <c r="DF68" s="90">
        <v>0</v>
      </c>
      <c r="DG68" s="94">
        <v>0</v>
      </c>
      <c r="DH68" s="94">
        <v>0</v>
      </c>
      <c r="DI68" s="94">
        <v>0</v>
      </c>
      <c r="DJ68" s="94">
        <v>0</v>
      </c>
      <c r="DK68" s="94">
        <v>0</v>
      </c>
      <c r="DL68" s="94">
        <v>0</v>
      </c>
      <c r="DM68" s="94">
        <v>0</v>
      </c>
      <c r="DN68" s="94">
        <v>0</v>
      </c>
      <c r="DO68" s="94">
        <v>0</v>
      </c>
      <c r="DP68" s="94">
        <v>0</v>
      </c>
      <c r="DQ68" s="28">
        <v>0</v>
      </c>
      <c r="DR68" s="90">
        <v>0</v>
      </c>
      <c r="DS68" s="94">
        <v>0</v>
      </c>
      <c r="DT68" s="94">
        <v>0</v>
      </c>
      <c r="DU68" s="94">
        <v>0</v>
      </c>
      <c r="DV68" s="94">
        <v>0</v>
      </c>
      <c r="DW68" s="94">
        <v>0</v>
      </c>
      <c r="DX68" s="94">
        <v>0</v>
      </c>
      <c r="DY68" s="94">
        <v>0</v>
      </c>
      <c r="DZ68" s="94">
        <v>0</v>
      </c>
      <c r="EA68" s="94">
        <v>0</v>
      </c>
      <c r="EB68" s="94">
        <v>0</v>
      </c>
      <c r="EC68" s="28">
        <v>0</v>
      </c>
      <c r="ED68" s="186">
        <f t="shared" si="238"/>
        <v>1564.8777</v>
      </c>
      <c r="EE68" s="32"/>
    </row>
    <row r="69" spans="1:138" ht="13.9" customHeight="1">
      <c r="A69" s="249" t="s">
        <v>976</v>
      </c>
      <c r="B69" s="258"/>
      <c r="C69">
        <v>0</v>
      </c>
      <c r="D69">
        <v>0</v>
      </c>
      <c r="E69">
        <v>0</v>
      </c>
      <c r="F69">
        <v>0</v>
      </c>
      <c r="G69">
        <v>0</v>
      </c>
      <c r="H69">
        <v>0</v>
      </c>
      <c r="I69">
        <v>0</v>
      </c>
      <c r="J69">
        <v>0</v>
      </c>
      <c r="K69">
        <v>0</v>
      </c>
      <c r="L69">
        <v>0</v>
      </c>
      <c r="N69" s="272">
        <v>0</v>
      </c>
      <c r="O69" s="272">
        <v>0</v>
      </c>
      <c r="P69" s="272">
        <v>0</v>
      </c>
      <c r="Q69" s="272">
        <v>0</v>
      </c>
      <c r="R69" s="272">
        <v>0</v>
      </c>
      <c r="S69" s="272">
        <v>0</v>
      </c>
      <c r="T69" s="272">
        <v>0</v>
      </c>
      <c r="U69" s="272">
        <v>0</v>
      </c>
      <c r="V69" s="272">
        <v>0</v>
      </c>
      <c r="W69" s="272">
        <v>0</v>
      </c>
      <c r="X69" s="272">
        <v>0</v>
      </c>
      <c r="Y69" s="272">
        <v>0</v>
      </c>
      <c r="Z69" s="174">
        <v>0</v>
      </c>
      <c r="AA69" s="272">
        <v>0</v>
      </c>
      <c r="AB69" s="272">
        <v>0</v>
      </c>
      <c r="AC69" s="272">
        <v>0</v>
      </c>
      <c r="AD69" s="272">
        <v>0</v>
      </c>
      <c r="AE69" s="272">
        <v>0</v>
      </c>
      <c r="AF69" s="272">
        <v>0</v>
      </c>
      <c r="AG69" s="272">
        <v>0</v>
      </c>
      <c r="AH69" s="272">
        <v>0</v>
      </c>
      <c r="AI69" s="272">
        <v>0</v>
      </c>
      <c r="AJ69" s="272">
        <v>0</v>
      </c>
      <c r="AK69" s="186">
        <v>0</v>
      </c>
      <c r="AL69" s="174">
        <v>0</v>
      </c>
      <c r="AM69" s="272">
        <v>0</v>
      </c>
      <c r="AN69" s="272">
        <v>0</v>
      </c>
      <c r="AO69" s="272">
        <v>0</v>
      </c>
      <c r="AP69" s="272">
        <v>0</v>
      </c>
      <c r="AQ69" s="272">
        <v>0</v>
      </c>
      <c r="AR69" s="272">
        <v>0</v>
      </c>
      <c r="AS69" s="272">
        <v>0</v>
      </c>
      <c r="AT69" s="272">
        <v>0</v>
      </c>
      <c r="AU69" s="272">
        <v>0</v>
      </c>
      <c r="AV69" s="272">
        <v>0</v>
      </c>
      <c r="AW69" s="272">
        <v>0</v>
      </c>
      <c r="AX69" s="174">
        <v>0</v>
      </c>
      <c r="AY69" s="272">
        <v>0</v>
      </c>
      <c r="AZ69" s="272">
        <v>0</v>
      </c>
      <c r="BA69" s="272">
        <v>0</v>
      </c>
      <c r="BB69" s="272">
        <v>0</v>
      </c>
      <c r="BC69" s="272">
        <v>0</v>
      </c>
      <c r="BD69" s="272">
        <v>0</v>
      </c>
      <c r="BE69" s="272">
        <v>0</v>
      </c>
      <c r="BF69" s="272">
        <v>0</v>
      </c>
      <c r="BG69" s="272">
        <v>0</v>
      </c>
      <c r="BH69" s="272">
        <v>0</v>
      </c>
      <c r="BI69" s="186">
        <v>0</v>
      </c>
      <c r="BJ69" s="272">
        <v>0</v>
      </c>
      <c r="BK69" s="272">
        <v>0</v>
      </c>
      <c r="BL69" s="272">
        <v>0</v>
      </c>
      <c r="BM69" s="272">
        <v>0</v>
      </c>
      <c r="BN69" s="272">
        <v>0</v>
      </c>
      <c r="BO69" s="272">
        <v>0</v>
      </c>
      <c r="BP69" s="272">
        <v>0</v>
      </c>
      <c r="BQ69" s="272">
        <v>0</v>
      </c>
      <c r="BR69" s="272">
        <v>0</v>
      </c>
      <c r="BS69" s="272">
        <v>0</v>
      </c>
      <c r="BT69" s="272">
        <v>0</v>
      </c>
      <c r="BU69" s="186">
        <v>0</v>
      </c>
      <c r="BV69" s="272">
        <v>0</v>
      </c>
      <c r="BW69" s="272">
        <v>0</v>
      </c>
      <c r="BX69" s="272">
        <v>0</v>
      </c>
      <c r="BY69" s="272">
        <v>0</v>
      </c>
      <c r="BZ69" s="272">
        <v>0</v>
      </c>
      <c r="CA69" s="272">
        <v>0</v>
      </c>
      <c r="CB69" s="272">
        <v>0</v>
      </c>
      <c r="CC69" s="272">
        <v>0</v>
      </c>
      <c r="CD69" s="272">
        <v>0</v>
      </c>
      <c r="CE69" s="272">
        <v>0</v>
      </c>
      <c r="CF69" s="272">
        <v>0</v>
      </c>
      <c r="CG69" s="272">
        <v>0</v>
      </c>
      <c r="CH69" s="263">
        <v>0</v>
      </c>
      <c r="CI69" s="17">
        <v>0</v>
      </c>
      <c r="CJ69" s="17">
        <v>0</v>
      </c>
      <c r="CK69" s="17">
        <v>0</v>
      </c>
      <c r="CL69" s="17">
        <v>0</v>
      </c>
      <c r="CM69" s="17">
        <v>0</v>
      </c>
      <c r="CN69" s="17">
        <v>0</v>
      </c>
      <c r="CO69" s="17">
        <v>0</v>
      </c>
      <c r="CP69" s="17">
        <v>0</v>
      </c>
      <c r="CQ69" s="17">
        <v>0</v>
      </c>
      <c r="CR69" s="17">
        <v>0</v>
      </c>
      <c r="CS69" s="264">
        <v>300.66500000000002</v>
      </c>
      <c r="CT69" s="174">
        <v>0</v>
      </c>
      <c r="CU69" s="272">
        <v>0</v>
      </c>
      <c r="CV69" s="272">
        <v>0</v>
      </c>
      <c r="CW69" s="272">
        <v>0</v>
      </c>
      <c r="CX69" s="272">
        <v>0</v>
      </c>
      <c r="CY69" s="272">
        <v>0</v>
      </c>
      <c r="CZ69" s="272">
        <v>0</v>
      </c>
      <c r="DA69" s="272">
        <v>0</v>
      </c>
      <c r="DB69" s="272">
        <v>0</v>
      </c>
      <c r="DC69" s="272">
        <v>0</v>
      </c>
      <c r="DD69" s="272">
        <v>0</v>
      </c>
      <c r="DE69" s="186">
        <v>0</v>
      </c>
      <c r="DF69" s="174">
        <v>0</v>
      </c>
      <c r="DG69" s="272">
        <v>0</v>
      </c>
      <c r="DH69" s="272">
        <v>0</v>
      </c>
      <c r="DI69" s="272">
        <v>0</v>
      </c>
      <c r="DJ69" s="272">
        <v>0</v>
      </c>
      <c r="DK69" s="272">
        <v>0</v>
      </c>
      <c r="DL69" s="272">
        <v>0</v>
      </c>
      <c r="DM69" s="272">
        <v>0</v>
      </c>
      <c r="DN69" s="272">
        <v>0</v>
      </c>
      <c r="DO69" s="272">
        <v>0</v>
      </c>
      <c r="DP69" s="272">
        <v>0</v>
      </c>
      <c r="DQ69" s="186">
        <v>0</v>
      </c>
      <c r="DR69" s="174">
        <v>0</v>
      </c>
      <c r="DS69" s="272">
        <v>0</v>
      </c>
      <c r="DT69" s="272">
        <v>0</v>
      </c>
      <c r="DU69" s="272">
        <v>0</v>
      </c>
      <c r="DV69" s="272">
        <v>0</v>
      </c>
      <c r="DW69" s="272">
        <v>0</v>
      </c>
      <c r="DX69" s="272">
        <v>0</v>
      </c>
      <c r="DY69" s="272">
        <v>0</v>
      </c>
      <c r="DZ69" s="272">
        <v>0</v>
      </c>
      <c r="EA69" s="272">
        <v>0</v>
      </c>
      <c r="EB69" s="272">
        <v>0</v>
      </c>
      <c r="EC69" s="186">
        <v>0</v>
      </c>
      <c r="ED69" s="186">
        <f t="shared" si="238"/>
        <v>300.66500000000002</v>
      </c>
      <c r="EE69" s="32"/>
    </row>
    <row r="70" spans="1:138" ht="13.9" customHeight="1">
      <c r="A70" s="125" t="s">
        <v>879</v>
      </c>
      <c r="B70" s="258"/>
      <c r="C70">
        <v>0</v>
      </c>
      <c r="D70">
        <v>0</v>
      </c>
      <c r="E70">
        <v>0</v>
      </c>
      <c r="F70">
        <v>0</v>
      </c>
      <c r="G70">
        <v>0</v>
      </c>
      <c r="H70">
        <v>0</v>
      </c>
      <c r="I70">
        <v>0</v>
      </c>
      <c r="J70">
        <v>0</v>
      </c>
      <c r="K70">
        <v>0</v>
      </c>
      <c r="L70">
        <v>0</v>
      </c>
      <c r="N70" s="272">
        <v>0</v>
      </c>
      <c r="O70" s="272">
        <v>0</v>
      </c>
      <c r="P70" s="272">
        <v>0</v>
      </c>
      <c r="Q70" s="272">
        <v>0</v>
      </c>
      <c r="R70" s="272">
        <v>0</v>
      </c>
      <c r="S70" s="272">
        <v>0</v>
      </c>
      <c r="T70" s="272">
        <v>0</v>
      </c>
      <c r="U70" s="272">
        <v>0</v>
      </c>
      <c r="V70" s="272">
        <v>0</v>
      </c>
      <c r="W70" s="272">
        <v>0</v>
      </c>
      <c r="X70" s="272">
        <v>0</v>
      </c>
      <c r="Y70" s="272">
        <v>0</v>
      </c>
      <c r="Z70" s="174">
        <v>509.31899999999996</v>
      </c>
      <c r="AA70" s="272">
        <v>0</v>
      </c>
      <c r="AB70" s="272">
        <v>77.490250000000003</v>
      </c>
      <c r="AC70" s="272">
        <v>152.358</v>
      </c>
      <c r="AD70" s="272">
        <v>0</v>
      </c>
      <c r="AE70" s="272">
        <v>0</v>
      </c>
      <c r="AF70" s="272">
        <v>2113.3575000000001</v>
      </c>
      <c r="AG70" s="272">
        <v>0</v>
      </c>
      <c r="AH70" s="272">
        <v>0</v>
      </c>
      <c r="AI70" s="272">
        <v>4732.9882564999998</v>
      </c>
      <c r="AJ70" s="272">
        <v>0</v>
      </c>
      <c r="AK70" s="186">
        <v>0</v>
      </c>
      <c r="AL70" s="174">
        <v>0</v>
      </c>
      <c r="AM70" s="272">
        <v>0</v>
      </c>
      <c r="AN70" s="272">
        <v>0</v>
      </c>
      <c r="AO70" s="272">
        <v>0</v>
      </c>
      <c r="AP70" s="272">
        <v>0</v>
      </c>
      <c r="AQ70" s="272">
        <v>0</v>
      </c>
      <c r="AR70" s="272">
        <v>0</v>
      </c>
      <c r="AS70" s="272">
        <v>0</v>
      </c>
      <c r="AT70" s="272">
        <v>0</v>
      </c>
      <c r="AU70" s="272">
        <v>118.958</v>
      </c>
      <c r="AV70" s="272">
        <v>0</v>
      </c>
      <c r="AW70" s="272">
        <v>0</v>
      </c>
      <c r="AX70" s="174">
        <v>0</v>
      </c>
      <c r="AY70" s="272">
        <v>0</v>
      </c>
      <c r="AZ70" s="272">
        <v>65.13</v>
      </c>
      <c r="BA70" s="272">
        <v>46.584000000000003</v>
      </c>
      <c r="BB70" s="272">
        <v>0</v>
      </c>
      <c r="BC70" s="272">
        <v>0</v>
      </c>
      <c r="BD70" s="272">
        <v>0</v>
      </c>
      <c r="BE70" s="272">
        <v>0</v>
      </c>
      <c r="BF70" s="272">
        <v>0</v>
      </c>
      <c r="BG70" s="272">
        <v>0</v>
      </c>
      <c r="BH70" s="272">
        <v>44.673749999999998</v>
      </c>
      <c r="BI70" s="186">
        <v>73.617999999999995</v>
      </c>
      <c r="BJ70" s="272">
        <v>0</v>
      </c>
      <c r="BK70" s="272">
        <v>0</v>
      </c>
      <c r="BL70" s="272">
        <v>0</v>
      </c>
      <c r="BM70" s="272">
        <v>0</v>
      </c>
      <c r="BN70" s="272">
        <v>0</v>
      </c>
      <c r="BO70" s="272">
        <v>23.221</v>
      </c>
      <c r="BP70" s="272">
        <v>0</v>
      </c>
      <c r="BQ70" s="272">
        <v>0</v>
      </c>
      <c r="BR70" s="272">
        <v>0</v>
      </c>
      <c r="BS70" s="272">
        <v>179.509511</v>
      </c>
      <c r="BT70" s="272">
        <v>0</v>
      </c>
      <c r="BU70" s="186">
        <v>0</v>
      </c>
      <c r="BV70" s="272">
        <v>17.052</v>
      </c>
      <c r="BW70" s="272">
        <v>0</v>
      </c>
      <c r="BX70" s="272">
        <v>0</v>
      </c>
      <c r="BY70" s="272">
        <v>0</v>
      </c>
      <c r="BZ70" s="272">
        <v>0</v>
      </c>
      <c r="CA70" s="272">
        <v>0</v>
      </c>
      <c r="CB70" s="272">
        <v>0</v>
      </c>
      <c r="CC70" s="272">
        <v>0</v>
      </c>
      <c r="CD70" s="272">
        <v>0</v>
      </c>
      <c r="CE70" s="272">
        <v>29.936970000000002</v>
      </c>
      <c r="CF70" s="272">
        <v>0</v>
      </c>
      <c r="CG70" s="272">
        <v>2.3327499999999999</v>
      </c>
      <c r="CH70" s="19">
        <v>0</v>
      </c>
      <c r="CI70" s="22">
        <v>0</v>
      </c>
      <c r="CJ70" s="22">
        <v>0</v>
      </c>
      <c r="CK70" s="22">
        <v>0</v>
      </c>
      <c r="CL70" s="22">
        <v>27.109500000000001</v>
      </c>
      <c r="CM70" s="22">
        <v>0</v>
      </c>
      <c r="CN70" s="22">
        <v>0</v>
      </c>
      <c r="CO70" s="22">
        <v>68.64</v>
      </c>
      <c r="CP70" s="22">
        <v>0</v>
      </c>
      <c r="CQ70" s="22">
        <v>0</v>
      </c>
      <c r="CR70" s="22">
        <v>0</v>
      </c>
      <c r="CS70" s="12">
        <v>0</v>
      </c>
      <c r="CT70" s="90">
        <v>0</v>
      </c>
      <c r="CU70" s="94">
        <v>0</v>
      </c>
      <c r="CV70" s="94">
        <v>0</v>
      </c>
      <c r="CW70" s="94">
        <v>0</v>
      </c>
      <c r="CX70" s="94">
        <v>0</v>
      </c>
      <c r="CY70" s="94">
        <v>0</v>
      </c>
      <c r="CZ70" s="94">
        <v>0</v>
      </c>
      <c r="DA70" s="94">
        <v>0</v>
      </c>
      <c r="DB70" s="94">
        <v>0</v>
      </c>
      <c r="DC70" s="94">
        <v>0</v>
      </c>
      <c r="DD70" s="94">
        <v>0</v>
      </c>
      <c r="DE70" s="28">
        <v>0</v>
      </c>
      <c r="DF70" s="90">
        <v>0</v>
      </c>
      <c r="DG70" s="94">
        <v>0</v>
      </c>
      <c r="DH70" s="94">
        <v>0</v>
      </c>
      <c r="DI70" s="94">
        <v>0</v>
      </c>
      <c r="DJ70" s="94">
        <v>0</v>
      </c>
      <c r="DK70" s="94">
        <v>0</v>
      </c>
      <c r="DL70" s="94">
        <v>0</v>
      </c>
      <c r="DM70" s="94">
        <v>0</v>
      </c>
      <c r="DN70" s="94">
        <v>0</v>
      </c>
      <c r="DO70" s="94">
        <v>0</v>
      </c>
      <c r="DP70" s="94">
        <v>0</v>
      </c>
      <c r="DQ70" s="28">
        <v>0</v>
      </c>
      <c r="DR70" s="90">
        <v>0</v>
      </c>
      <c r="DS70" s="94">
        <v>0</v>
      </c>
      <c r="DT70" s="94">
        <v>0</v>
      </c>
      <c r="DU70" s="94">
        <v>0</v>
      </c>
      <c r="DV70" s="94">
        <v>0</v>
      </c>
      <c r="DW70" s="94">
        <v>0</v>
      </c>
      <c r="DX70" s="94">
        <v>0</v>
      </c>
      <c r="DY70" s="94">
        <v>0</v>
      </c>
      <c r="DZ70" s="94">
        <v>0</v>
      </c>
      <c r="EA70" s="94">
        <v>0</v>
      </c>
      <c r="EB70" s="94">
        <v>0</v>
      </c>
      <c r="EC70" s="28">
        <v>0</v>
      </c>
      <c r="ED70" s="186">
        <f t="shared" si="238"/>
        <v>8282.2784874999979</v>
      </c>
      <c r="EE70" s="32"/>
    </row>
    <row r="71" spans="1:138" ht="13.9" customHeight="1">
      <c r="A71" s="125" t="s">
        <v>834</v>
      </c>
      <c r="B71" s="258"/>
      <c r="C71">
        <v>0</v>
      </c>
      <c r="D71">
        <v>0</v>
      </c>
      <c r="E71">
        <v>0</v>
      </c>
      <c r="F71">
        <v>0</v>
      </c>
      <c r="G71">
        <v>0</v>
      </c>
      <c r="H71">
        <v>0</v>
      </c>
      <c r="I71">
        <v>0</v>
      </c>
      <c r="J71">
        <v>0</v>
      </c>
      <c r="K71">
        <v>0</v>
      </c>
      <c r="L71">
        <v>0</v>
      </c>
      <c r="N71" s="272">
        <v>0</v>
      </c>
      <c r="O71" s="272">
        <v>0</v>
      </c>
      <c r="P71" s="272">
        <v>0</v>
      </c>
      <c r="Q71" s="272">
        <v>0</v>
      </c>
      <c r="R71" s="272">
        <v>0</v>
      </c>
      <c r="S71" s="272">
        <v>0</v>
      </c>
      <c r="T71" s="272">
        <v>0</v>
      </c>
      <c r="U71" s="272">
        <v>0</v>
      </c>
      <c r="V71" s="272">
        <v>0</v>
      </c>
      <c r="W71" s="272">
        <v>0</v>
      </c>
      <c r="X71" s="272">
        <v>0</v>
      </c>
      <c r="Y71" s="272">
        <v>0</v>
      </c>
      <c r="Z71" s="174">
        <v>0</v>
      </c>
      <c r="AA71" s="272">
        <v>0</v>
      </c>
      <c r="AB71" s="272">
        <v>0</v>
      </c>
      <c r="AC71" s="272">
        <v>0</v>
      </c>
      <c r="AD71" s="272">
        <v>0</v>
      </c>
      <c r="AE71" s="272">
        <v>62.5</v>
      </c>
      <c r="AF71" s="272">
        <v>0</v>
      </c>
      <c r="AG71" s="272">
        <v>0</v>
      </c>
      <c r="AH71" s="272">
        <v>0</v>
      </c>
      <c r="AI71" s="272">
        <v>0</v>
      </c>
      <c r="AJ71" s="272">
        <v>0</v>
      </c>
      <c r="AK71" s="186">
        <v>0</v>
      </c>
      <c r="AL71" s="174">
        <v>0</v>
      </c>
      <c r="AM71" s="272">
        <v>0</v>
      </c>
      <c r="AN71" s="272">
        <v>0</v>
      </c>
      <c r="AO71" s="272">
        <v>0</v>
      </c>
      <c r="AP71" s="272">
        <v>0</v>
      </c>
      <c r="AQ71" s="272">
        <v>0</v>
      </c>
      <c r="AR71" s="272">
        <v>0</v>
      </c>
      <c r="AS71" s="272">
        <v>0</v>
      </c>
      <c r="AT71" s="272">
        <v>0</v>
      </c>
      <c r="AU71" s="272">
        <v>0</v>
      </c>
      <c r="AV71" s="272">
        <v>0</v>
      </c>
      <c r="AW71" s="272">
        <v>0</v>
      </c>
      <c r="AX71" s="174">
        <v>0</v>
      </c>
      <c r="AY71" s="272">
        <v>0</v>
      </c>
      <c r="AZ71" s="272">
        <v>0</v>
      </c>
      <c r="BA71" s="272">
        <v>0</v>
      </c>
      <c r="BB71" s="272">
        <v>0</v>
      </c>
      <c r="BC71" s="272">
        <v>0</v>
      </c>
      <c r="BD71" s="272">
        <v>0</v>
      </c>
      <c r="BE71" s="272">
        <v>0</v>
      </c>
      <c r="BF71" s="272">
        <v>0</v>
      </c>
      <c r="BG71" s="272">
        <v>0</v>
      </c>
      <c r="BH71" s="272">
        <v>0</v>
      </c>
      <c r="BI71" s="186">
        <v>0</v>
      </c>
      <c r="BJ71" s="272">
        <v>0</v>
      </c>
      <c r="BK71" s="272">
        <v>0</v>
      </c>
      <c r="BL71" s="272">
        <v>0</v>
      </c>
      <c r="BM71" s="272">
        <v>0</v>
      </c>
      <c r="BN71" s="272">
        <v>0</v>
      </c>
      <c r="BO71" s="272">
        <v>0</v>
      </c>
      <c r="BP71" s="272">
        <v>0</v>
      </c>
      <c r="BQ71" s="272">
        <v>0</v>
      </c>
      <c r="BR71" s="272">
        <v>0</v>
      </c>
      <c r="BS71" s="272">
        <v>0</v>
      </c>
      <c r="BT71" s="272">
        <v>0</v>
      </c>
      <c r="BU71" s="186">
        <v>0</v>
      </c>
      <c r="BV71" s="272">
        <v>0</v>
      </c>
      <c r="BW71" s="272">
        <v>0</v>
      </c>
      <c r="BX71" s="272">
        <v>0</v>
      </c>
      <c r="BY71" s="272">
        <v>0</v>
      </c>
      <c r="BZ71" s="272">
        <v>0</v>
      </c>
      <c r="CA71" s="272">
        <v>0</v>
      </c>
      <c r="CB71" s="272">
        <v>0</v>
      </c>
      <c r="CC71" s="272">
        <v>0</v>
      </c>
      <c r="CD71" s="272">
        <v>0</v>
      </c>
      <c r="CE71" s="272">
        <v>0</v>
      </c>
      <c r="CF71" s="272">
        <v>0</v>
      </c>
      <c r="CG71" s="272">
        <v>0</v>
      </c>
      <c r="CH71" s="20">
        <v>0</v>
      </c>
      <c r="CI71" s="24">
        <v>76.018152000000001</v>
      </c>
      <c r="CJ71" s="24">
        <v>0</v>
      </c>
      <c r="CK71" s="24">
        <v>0</v>
      </c>
      <c r="CL71" s="24">
        <v>0</v>
      </c>
      <c r="CM71" s="24">
        <v>0</v>
      </c>
      <c r="CN71" s="24">
        <v>0</v>
      </c>
      <c r="CO71" s="24">
        <v>0</v>
      </c>
      <c r="CP71" s="24">
        <v>0</v>
      </c>
      <c r="CQ71" s="24">
        <v>0</v>
      </c>
      <c r="CR71" s="24">
        <v>0</v>
      </c>
      <c r="CS71" s="13">
        <v>0</v>
      </c>
      <c r="CT71" s="47">
        <v>0</v>
      </c>
      <c r="CU71" s="95">
        <v>0</v>
      </c>
      <c r="CV71" s="95">
        <v>0</v>
      </c>
      <c r="CW71" s="95">
        <v>0</v>
      </c>
      <c r="CX71" s="95">
        <v>0</v>
      </c>
      <c r="CY71" s="95">
        <v>0</v>
      </c>
      <c r="CZ71" s="95">
        <v>0</v>
      </c>
      <c r="DA71" s="95">
        <v>0</v>
      </c>
      <c r="DB71" s="95">
        <v>0</v>
      </c>
      <c r="DC71" s="95">
        <v>0</v>
      </c>
      <c r="DD71" s="95">
        <v>0</v>
      </c>
      <c r="DE71" s="29">
        <v>0</v>
      </c>
      <c r="DF71" s="47">
        <v>0</v>
      </c>
      <c r="DG71" s="95">
        <v>0</v>
      </c>
      <c r="DH71" s="95">
        <v>0</v>
      </c>
      <c r="DI71" s="95">
        <v>0</v>
      </c>
      <c r="DJ71" s="95">
        <v>0</v>
      </c>
      <c r="DK71" s="95">
        <v>0</v>
      </c>
      <c r="DL71" s="95">
        <v>0</v>
      </c>
      <c r="DM71" s="95">
        <v>0</v>
      </c>
      <c r="DN71" s="95">
        <v>0</v>
      </c>
      <c r="DO71" s="95">
        <v>0</v>
      </c>
      <c r="DP71" s="95">
        <v>0</v>
      </c>
      <c r="DQ71" s="29">
        <v>0</v>
      </c>
      <c r="DR71" s="47">
        <v>0</v>
      </c>
      <c r="DS71" s="95">
        <v>0</v>
      </c>
      <c r="DT71" s="95">
        <v>0</v>
      </c>
      <c r="DU71" s="95">
        <v>0</v>
      </c>
      <c r="DV71" s="95">
        <v>0</v>
      </c>
      <c r="DW71" s="95">
        <v>0</v>
      </c>
      <c r="DX71" s="95">
        <v>0</v>
      </c>
      <c r="DY71" s="95">
        <v>0</v>
      </c>
      <c r="DZ71" s="95">
        <v>0</v>
      </c>
      <c r="EA71" s="95">
        <v>0</v>
      </c>
      <c r="EB71" s="95">
        <v>0</v>
      </c>
      <c r="EC71" s="29">
        <v>0</v>
      </c>
      <c r="ED71" s="300">
        <f t="shared" si="238"/>
        <v>138.51815199999999</v>
      </c>
      <c r="EE71" s="32"/>
    </row>
    <row r="72" spans="1:138" ht="13.9" customHeight="1">
      <c r="A72" s="120" t="s">
        <v>1549</v>
      </c>
      <c r="B72" s="258"/>
      <c r="C72">
        <v>0</v>
      </c>
      <c r="D72">
        <v>0</v>
      </c>
      <c r="E72">
        <v>0</v>
      </c>
      <c r="F72">
        <v>0</v>
      </c>
      <c r="G72">
        <v>0</v>
      </c>
      <c r="H72">
        <v>0</v>
      </c>
      <c r="I72">
        <v>0</v>
      </c>
      <c r="J72">
        <v>0</v>
      </c>
      <c r="K72">
        <v>0</v>
      </c>
      <c r="L72">
        <v>0</v>
      </c>
      <c r="M72" s="74">
        <v>0</v>
      </c>
      <c r="N72" s="271">
        <f>SUM(N73:N80)</f>
        <v>0</v>
      </c>
      <c r="O72" s="271">
        <f t="shared" ref="O72:BZ72" si="239">SUM(O73:O80)</f>
        <v>0</v>
      </c>
      <c r="P72" s="271">
        <f t="shared" si="239"/>
        <v>0</v>
      </c>
      <c r="Q72" s="271">
        <f t="shared" si="239"/>
        <v>0</v>
      </c>
      <c r="R72" s="271">
        <f t="shared" si="239"/>
        <v>0</v>
      </c>
      <c r="S72" s="271">
        <f t="shared" si="239"/>
        <v>0</v>
      </c>
      <c r="T72" s="271">
        <f t="shared" si="239"/>
        <v>0</v>
      </c>
      <c r="U72" s="271">
        <f t="shared" si="239"/>
        <v>0</v>
      </c>
      <c r="V72" s="271">
        <f t="shared" si="239"/>
        <v>0</v>
      </c>
      <c r="W72" s="271">
        <f t="shared" si="239"/>
        <v>0</v>
      </c>
      <c r="X72" s="271">
        <f t="shared" si="239"/>
        <v>0</v>
      </c>
      <c r="Y72" s="271">
        <f t="shared" si="239"/>
        <v>0</v>
      </c>
      <c r="Z72" s="273">
        <f t="shared" si="239"/>
        <v>0</v>
      </c>
      <c r="AA72" s="271">
        <f t="shared" si="239"/>
        <v>0</v>
      </c>
      <c r="AB72" s="271">
        <f t="shared" si="239"/>
        <v>286.74</v>
      </c>
      <c r="AC72" s="271">
        <f t="shared" si="239"/>
        <v>0</v>
      </c>
      <c r="AD72" s="271">
        <f t="shared" si="239"/>
        <v>0</v>
      </c>
      <c r="AE72" s="271">
        <f t="shared" si="239"/>
        <v>0</v>
      </c>
      <c r="AF72" s="271">
        <f t="shared" si="239"/>
        <v>0</v>
      </c>
      <c r="AG72" s="271">
        <f t="shared" si="239"/>
        <v>0</v>
      </c>
      <c r="AH72" s="271">
        <f t="shared" si="239"/>
        <v>0</v>
      </c>
      <c r="AI72" s="271">
        <f t="shared" si="239"/>
        <v>0</v>
      </c>
      <c r="AJ72" s="271">
        <f t="shared" si="239"/>
        <v>3290.5270089999999</v>
      </c>
      <c r="AK72" s="274">
        <f t="shared" si="239"/>
        <v>0</v>
      </c>
      <c r="AL72" s="273">
        <f t="shared" si="239"/>
        <v>0</v>
      </c>
      <c r="AM72" s="271">
        <f t="shared" si="239"/>
        <v>0</v>
      </c>
      <c r="AN72" s="271">
        <f t="shared" si="239"/>
        <v>0</v>
      </c>
      <c r="AO72" s="271">
        <f t="shared" si="239"/>
        <v>0</v>
      </c>
      <c r="AP72" s="271">
        <f t="shared" si="239"/>
        <v>0</v>
      </c>
      <c r="AQ72" s="271">
        <f t="shared" si="239"/>
        <v>1394.578</v>
      </c>
      <c r="AR72" s="271">
        <f t="shared" si="239"/>
        <v>1348.2560000000001</v>
      </c>
      <c r="AS72" s="271">
        <f t="shared" si="239"/>
        <v>8120.8189999999995</v>
      </c>
      <c r="AT72" s="271">
        <f t="shared" si="239"/>
        <v>0</v>
      </c>
      <c r="AU72" s="271">
        <f t="shared" si="239"/>
        <v>0</v>
      </c>
      <c r="AV72" s="271">
        <f t="shared" si="239"/>
        <v>0</v>
      </c>
      <c r="AW72" s="271">
        <f t="shared" si="239"/>
        <v>1442.92</v>
      </c>
      <c r="AX72" s="273">
        <f t="shared" si="239"/>
        <v>0</v>
      </c>
      <c r="AY72" s="271">
        <f t="shared" si="239"/>
        <v>707.80600000000004</v>
      </c>
      <c r="AZ72" s="271">
        <f t="shared" si="239"/>
        <v>0</v>
      </c>
      <c r="BA72" s="271">
        <f t="shared" si="239"/>
        <v>0</v>
      </c>
      <c r="BB72" s="271">
        <f t="shared" si="239"/>
        <v>0</v>
      </c>
      <c r="BC72" s="271">
        <f t="shared" si="239"/>
        <v>0</v>
      </c>
      <c r="BD72" s="271">
        <f t="shared" si="239"/>
        <v>5494.93</v>
      </c>
      <c r="BE72" s="271">
        <f t="shared" si="239"/>
        <v>39.164000000000001</v>
      </c>
      <c r="BF72" s="271">
        <f t="shared" si="239"/>
        <v>0</v>
      </c>
      <c r="BG72" s="271">
        <f t="shared" si="239"/>
        <v>0</v>
      </c>
      <c r="BH72" s="271">
        <f t="shared" si="239"/>
        <v>0</v>
      </c>
      <c r="BI72" s="274">
        <f t="shared" si="239"/>
        <v>465.541</v>
      </c>
      <c r="BJ72" s="271">
        <f t="shared" si="239"/>
        <v>0</v>
      </c>
      <c r="BK72" s="271">
        <f t="shared" si="239"/>
        <v>1104.940292</v>
      </c>
      <c r="BL72" s="271">
        <f t="shared" si="239"/>
        <v>0</v>
      </c>
      <c r="BM72" s="271">
        <f t="shared" si="239"/>
        <v>908.24400000000003</v>
      </c>
      <c r="BN72" s="271">
        <f t="shared" si="239"/>
        <v>2204.9259999999999</v>
      </c>
      <c r="BO72" s="271">
        <f t="shared" si="239"/>
        <v>597.923</v>
      </c>
      <c r="BP72" s="271">
        <f t="shared" si="239"/>
        <v>1119.4940000000001</v>
      </c>
      <c r="BQ72" s="271">
        <f t="shared" si="239"/>
        <v>452.65300000000002</v>
      </c>
      <c r="BR72" s="271">
        <f t="shared" si="239"/>
        <v>1589.4639999999999</v>
      </c>
      <c r="BS72" s="271">
        <f t="shared" si="239"/>
        <v>0</v>
      </c>
      <c r="BT72" s="271">
        <f t="shared" si="239"/>
        <v>97.180999999999997</v>
      </c>
      <c r="BU72" s="274">
        <f t="shared" si="239"/>
        <v>0</v>
      </c>
      <c r="BV72" s="271">
        <f t="shared" si="239"/>
        <v>538.38299999999992</v>
      </c>
      <c r="BW72" s="271">
        <f t="shared" si="239"/>
        <v>0</v>
      </c>
      <c r="BX72" s="271">
        <f t="shared" si="239"/>
        <v>0</v>
      </c>
      <c r="BY72" s="271">
        <f t="shared" si="239"/>
        <v>87.86</v>
      </c>
      <c r="BZ72" s="271">
        <f t="shared" si="239"/>
        <v>0</v>
      </c>
      <c r="CA72" s="271">
        <f t="shared" ref="CA72:ED72" si="240">SUM(CA73:CA80)</f>
        <v>0</v>
      </c>
      <c r="CB72" s="271">
        <f t="shared" si="240"/>
        <v>790.923</v>
      </c>
      <c r="CC72" s="271">
        <f t="shared" si="240"/>
        <v>0</v>
      </c>
      <c r="CD72" s="271">
        <f t="shared" si="240"/>
        <v>0</v>
      </c>
      <c r="CE72" s="271">
        <f t="shared" si="240"/>
        <v>0</v>
      </c>
      <c r="CF72" s="271">
        <f t="shared" si="240"/>
        <v>254.96449999999999</v>
      </c>
      <c r="CG72" s="271">
        <f t="shared" si="240"/>
        <v>0</v>
      </c>
      <c r="CH72" s="120">
        <f t="shared" si="240"/>
        <v>0</v>
      </c>
      <c r="CI72" s="155">
        <f t="shared" si="240"/>
        <v>0</v>
      </c>
      <c r="CJ72" s="155">
        <f t="shared" si="240"/>
        <v>0</v>
      </c>
      <c r="CK72" s="155">
        <f t="shared" si="240"/>
        <v>432.64400000000001</v>
      </c>
      <c r="CL72" s="155">
        <f t="shared" si="240"/>
        <v>0</v>
      </c>
      <c r="CM72" s="155">
        <f t="shared" si="240"/>
        <v>0</v>
      </c>
      <c r="CN72" s="155">
        <f t="shared" si="240"/>
        <v>0</v>
      </c>
      <c r="CO72" s="155">
        <f t="shared" si="240"/>
        <v>0</v>
      </c>
      <c r="CP72" s="155">
        <f t="shared" si="240"/>
        <v>0</v>
      </c>
      <c r="CQ72" s="155">
        <f t="shared" si="240"/>
        <v>0</v>
      </c>
      <c r="CR72" s="155">
        <f t="shared" si="240"/>
        <v>0</v>
      </c>
      <c r="CS72" s="177">
        <f t="shared" si="240"/>
        <v>0</v>
      </c>
      <c r="CT72" s="134">
        <f t="shared" ref="CT72:DE72" si="241">SUM(CT73:CT80)</f>
        <v>2795.1450000000004</v>
      </c>
      <c r="CU72" s="133">
        <f t="shared" si="241"/>
        <v>0</v>
      </c>
      <c r="CV72" s="133">
        <f t="shared" si="241"/>
        <v>0</v>
      </c>
      <c r="CW72" s="133">
        <f t="shared" si="241"/>
        <v>0</v>
      </c>
      <c r="CX72" s="133">
        <f t="shared" si="241"/>
        <v>0</v>
      </c>
      <c r="CY72" s="133">
        <f t="shared" si="241"/>
        <v>0</v>
      </c>
      <c r="CZ72" s="133">
        <f t="shared" si="241"/>
        <v>0</v>
      </c>
      <c r="DA72" s="133">
        <f t="shared" si="241"/>
        <v>0</v>
      </c>
      <c r="DB72" s="133">
        <f t="shared" si="241"/>
        <v>0</v>
      </c>
      <c r="DC72" s="133">
        <f t="shared" si="241"/>
        <v>0</v>
      </c>
      <c r="DD72" s="133">
        <f t="shared" si="241"/>
        <v>0</v>
      </c>
      <c r="DE72" s="138">
        <f t="shared" si="241"/>
        <v>0</v>
      </c>
      <c r="DF72" s="134">
        <f t="shared" ref="DF72:DQ72" si="242">SUM(DF73:DF80)</f>
        <v>0</v>
      </c>
      <c r="DG72" s="133">
        <f t="shared" si="242"/>
        <v>0</v>
      </c>
      <c r="DH72" s="133">
        <f t="shared" si="242"/>
        <v>0</v>
      </c>
      <c r="DI72" s="133">
        <f t="shared" si="242"/>
        <v>0</v>
      </c>
      <c r="DJ72" s="133">
        <f t="shared" si="242"/>
        <v>0</v>
      </c>
      <c r="DK72" s="133">
        <f t="shared" si="242"/>
        <v>0</v>
      </c>
      <c r="DL72" s="133">
        <f t="shared" si="242"/>
        <v>0</v>
      </c>
      <c r="DM72" s="133">
        <f t="shared" si="242"/>
        <v>0</v>
      </c>
      <c r="DN72" s="133">
        <f t="shared" si="242"/>
        <v>0</v>
      </c>
      <c r="DO72" s="133">
        <f t="shared" si="242"/>
        <v>0</v>
      </c>
      <c r="DP72" s="133">
        <f t="shared" si="242"/>
        <v>0</v>
      </c>
      <c r="DQ72" s="138">
        <f t="shared" si="242"/>
        <v>0</v>
      </c>
      <c r="DR72" s="134">
        <f t="shared" ref="DR72:EC72" si="243">SUM(DR73:DR80)</f>
        <v>0</v>
      </c>
      <c r="DS72" s="133">
        <f t="shared" si="243"/>
        <v>0</v>
      </c>
      <c r="DT72" s="133">
        <f t="shared" si="243"/>
        <v>0</v>
      </c>
      <c r="DU72" s="133">
        <f t="shared" si="243"/>
        <v>0</v>
      </c>
      <c r="DV72" s="133">
        <f t="shared" si="243"/>
        <v>0</v>
      </c>
      <c r="DW72" s="133">
        <f t="shared" si="243"/>
        <v>0</v>
      </c>
      <c r="DX72" s="133">
        <f t="shared" si="243"/>
        <v>0</v>
      </c>
      <c r="DY72" s="133">
        <f t="shared" si="243"/>
        <v>0</v>
      </c>
      <c r="DZ72" s="133">
        <f t="shared" si="243"/>
        <v>0</v>
      </c>
      <c r="EA72" s="133">
        <f t="shared" si="243"/>
        <v>0</v>
      </c>
      <c r="EB72" s="133">
        <f t="shared" si="243"/>
        <v>0</v>
      </c>
      <c r="EC72" s="138">
        <f t="shared" si="243"/>
        <v>0</v>
      </c>
      <c r="ED72" s="274">
        <f t="shared" si="240"/>
        <v>35566.025800999996</v>
      </c>
      <c r="EE72" s="32"/>
    </row>
    <row r="73" spans="1:138" ht="13.9" customHeight="1">
      <c r="A73" s="219" t="s">
        <v>1396</v>
      </c>
      <c r="B73" s="258"/>
      <c r="M73" s="219"/>
      <c r="N73" s="924">
        <v>0</v>
      </c>
      <c r="O73" s="924">
        <v>0</v>
      </c>
      <c r="P73" s="924">
        <v>0</v>
      </c>
      <c r="Q73" s="924">
        <v>0</v>
      </c>
      <c r="R73" s="924">
        <v>0</v>
      </c>
      <c r="S73" s="924">
        <v>0</v>
      </c>
      <c r="T73" s="924">
        <v>0</v>
      </c>
      <c r="U73" s="924">
        <v>0</v>
      </c>
      <c r="V73" s="924">
        <v>0</v>
      </c>
      <c r="W73" s="924">
        <v>0</v>
      </c>
      <c r="X73" s="924">
        <v>0</v>
      </c>
      <c r="Y73" s="924">
        <v>0</v>
      </c>
      <c r="Z73" s="925">
        <v>0</v>
      </c>
      <c r="AA73" s="924">
        <v>0</v>
      </c>
      <c r="AB73" s="924">
        <v>0</v>
      </c>
      <c r="AC73" s="924">
        <v>0</v>
      </c>
      <c r="AD73" s="924">
        <v>0</v>
      </c>
      <c r="AE73" s="924">
        <v>0</v>
      </c>
      <c r="AF73" s="924">
        <v>0</v>
      </c>
      <c r="AG73" s="924">
        <v>0</v>
      </c>
      <c r="AH73" s="924">
        <v>0</v>
      </c>
      <c r="AI73" s="924">
        <v>0</v>
      </c>
      <c r="AJ73" s="924">
        <v>0</v>
      </c>
      <c r="AK73" s="926">
        <v>0</v>
      </c>
      <c r="AL73" s="925">
        <v>0</v>
      </c>
      <c r="AM73" s="924">
        <v>0</v>
      </c>
      <c r="AN73" s="924">
        <v>0</v>
      </c>
      <c r="AO73" s="924">
        <v>0</v>
      </c>
      <c r="AP73" s="924">
        <v>0</v>
      </c>
      <c r="AQ73" s="924">
        <v>0</v>
      </c>
      <c r="AR73" s="924">
        <v>0</v>
      </c>
      <c r="AS73" s="924">
        <v>0</v>
      </c>
      <c r="AT73" s="924">
        <v>0</v>
      </c>
      <c r="AU73" s="924">
        <v>0</v>
      </c>
      <c r="AV73" s="924">
        <v>0</v>
      </c>
      <c r="AW73" s="924">
        <v>0</v>
      </c>
      <c r="AX73" s="925">
        <v>0</v>
      </c>
      <c r="AY73" s="924">
        <v>0</v>
      </c>
      <c r="AZ73" s="924">
        <v>0</v>
      </c>
      <c r="BA73" s="924">
        <v>0</v>
      </c>
      <c r="BB73" s="924">
        <v>0</v>
      </c>
      <c r="BC73" s="924">
        <v>0</v>
      </c>
      <c r="BD73" s="924">
        <v>0</v>
      </c>
      <c r="BE73" s="924">
        <v>0</v>
      </c>
      <c r="BF73" s="924">
        <v>0</v>
      </c>
      <c r="BG73" s="924">
        <v>0</v>
      </c>
      <c r="BH73" s="924">
        <v>0</v>
      </c>
      <c r="BI73" s="926">
        <v>0</v>
      </c>
      <c r="BJ73" s="924">
        <v>0</v>
      </c>
      <c r="BK73" s="924">
        <v>0</v>
      </c>
      <c r="BL73" s="924">
        <v>0</v>
      </c>
      <c r="BM73" s="924">
        <v>0</v>
      </c>
      <c r="BN73" s="924">
        <v>0</v>
      </c>
      <c r="BO73" s="924">
        <v>0</v>
      </c>
      <c r="BP73" s="924">
        <v>0</v>
      </c>
      <c r="BQ73" s="924">
        <v>0</v>
      </c>
      <c r="BR73" s="924">
        <v>0</v>
      </c>
      <c r="BS73" s="924">
        <v>0</v>
      </c>
      <c r="BT73" s="924">
        <v>0</v>
      </c>
      <c r="BU73" s="926">
        <v>0</v>
      </c>
      <c r="BV73" s="924">
        <v>0</v>
      </c>
      <c r="BW73" s="924">
        <v>0</v>
      </c>
      <c r="BX73" s="924">
        <v>0</v>
      </c>
      <c r="BY73" s="924">
        <v>0</v>
      </c>
      <c r="BZ73" s="924">
        <v>0</v>
      </c>
      <c r="CA73" s="924">
        <v>0</v>
      </c>
      <c r="CB73" s="924">
        <v>0</v>
      </c>
      <c r="CC73" s="924">
        <v>0</v>
      </c>
      <c r="CD73" s="924">
        <v>0</v>
      </c>
      <c r="CE73" s="924">
        <v>0</v>
      </c>
      <c r="CF73" s="924">
        <v>0</v>
      </c>
      <c r="CG73" s="924">
        <v>0</v>
      </c>
      <c r="CH73" s="219">
        <v>0</v>
      </c>
      <c r="CI73" s="458">
        <v>0</v>
      </c>
      <c r="CJ73" s="458">
        <v>0</v>
      </c>
      <c r="CK73" s="458">
        <v>432.64400000000001</v>
      </c>
      <c r="CL73" s="458">
        <v>0</v>
      </c>
      <c r="CM73" s="458">
        <v>0</v>
      </c>
      <c r="CN73" s="458">
        <v>0</v>
      </c>
      <c r="CO73" s="458">
        <v>0</v>
      </c>
      <c r="CP73" s="458">
        <v>0</v>
      </c>
      <c r="CQ73" s="458">
        <v>0</v>
      </c>
      <c r="CR73" s="458">
        <v>0</v>
      </c>
      <c r="CS73" s="741">
        <v>0</v>
      </c>
      <c r="CT73" s="210">
        <v>0</v>
      </c>
      <c r="CU73" s="211">
        <v>0</v>
      </c>
      <c r="CV73" s="211">
        <v>0</v>
      </c>
      <c r="CW73" s="211">
        <v>0</v>
      </c>
      <c r="CX73" s="211">
        <v>0</v>
      </c>
      <c r="CY73" s="211">
        <v>0</v>
      </c>
      <c r="CZ73" s="211">
        <v>0</v>
      </c>
      <c r="DA73" s="211">
        <v>0</v>
      </c>
      <c r="DB73" s="211">
        <v>0</v>
      </c>
      <c r="DC73" s="211">
        <v>0</v>
      </c>
      <c r="DD73" s="211">
        <v>0</v>
      </c>
      <c r="DE73" s="212">
        <v>0</v>
      </c>
      <c r="DF73" s="210">
        <v>0</v>
      </c>
      <c r="DG73" s="211">
        <v>0</v>
      </c>
      <c r="DH73" s="211">
        <v>0</v>
      </c>
      <c r="DI73" s="211">
        <v>0</v>
      </c>
      <c r="DJ73" s="211">
        <v>0</v>
      </c>
      <c r="DK73" s="211">
        <v>0</v>
      </c>
      <c r="DL73" s="211">
        <v>0</v>
      </c>
      <c r="DM73" s="211">
        <v>0</v>
      </c>
      <c r="DN73" s="211">
        <v>0</v>
      </c>
      <c r="DO73" s="211">
        <v>0</v>
      </c>
      <c r="DP73" s="211">
        <v>0</v>
      </c>
      <c r="DQ73" s="212">
        <v>0</v>
      </c>
      <c r="DR73" s="210">
        <v>0</v>
      </c>
      <c r="DS73" s="211">
        <v>0</v>
      </c>
      <c r="DT73" s="211">
        <v>0</v>
      </c>
      <c r="DU73" s="211">
        <v>0</v>
      </c>
      <c r="DV73" s="211">
        <v>0</v>
      </c>
      <c r="DW73" s="211">
        <v>0</v>
      </c>
      <c r="DX73" s="211">
        <v>0</v>
      </c>
      <c r="DY73" s="211">
        <v>0</v>
      </c>
      <c r="DZ73" s="211">
        <v>0</v>
      </c>
      <c r="EA73" s="211">
        <v>0</v>
      </c>
      <c r="EB73" s="211">
        <v>0</v>
      </c>
      <c r="EC73" s="212">
        <v>0</v>
      </c>
      <c r="ED73" s="186">
        <f t="shared" ref="ED73:ED80" si="244">SUM(N73:EC73)</f>
        <v>432.64400000000001</v>
      </c>
      <c r="EE73" s="32"/>
    </row>
    <row r="74" spans="1:138" ht="13.9" customHeight="1">
      <c r="A74" s="125" t="s">
        <v>558</v>
      </c>
      <c r="B74" s="258"/>
      <c r="C74">
        <v>0</v>
      </c>
      <c r="D74">
        <v>0</v>
      </c>
      <c r="E74">
        <v>0</v>
      </c>
      <c r="F74">
        <v>0</v>
      </c>
      <c r="G74">
        <v>0</v>
      </c>
      <c r="H74">
        <v>0</v>
      </c>
      <c r="I74">
        <v>0</v>
      </c>
      <c r="J74">
        <v>0</v>
      </c>
      <c r="K74">
        <v>0</v>
      </c>
      <c r="L74">
        <v>0</v>
      </c>
      <c r="M74" s="19">
        <v>0</v>
      </c>
      <c r="N74" s="272">
        <v>0</v>
      </c>
      <c r="O74" s="272">
        <v>0</v>
      </c>
      <c r="P74" s="272">
        <v>0</v>
      </c>
      <c r="Q74" s="272">
        <v>0</v>
      </c>
      <c r="R74" s="272">
        <v>0</v>
      </c>
      <c r="S74" s="272">
        <v>0</v>
      </c>
      <c r="T74" s="272">
        <v>0</v>
      </c>
      <c r="U74" s="272">
        <v>0</v>
      </c>
      <c r="V74" s="272">
        <v>0</v>
      </c>
      <c r="W74" s="272">
        <v>0</v>
      </c>
      <c r="X74" s="272">
        <v>0</v>
      </c>
      <c r="Y74" s="272">
        <v>0</v>
      </c>
      <c r="Z74" s="174">
        <v>0</v>
      </c>
      <c r="AA74" s="272">
        <v>0</v>
      </c>
      <c r="AB74" s="272">
        <v>286.74</v>
      </c>
      <c r="AC74" s="272">
        <v>0</v>
      </c>
      <c r="AD74" s="272">
        <v>0</v>
      </c>
      <c r="AE74" s="272">
        <v>0</v>
      </c>
      <c r="AF74" s="272">
        <v>0</v>
      </c>
      <c r="AG74" s="272">
        <v>0</v>
      </c>
      <c r="AH74" s="272">
        <v>0</v>
      </c>
      <c r="AI74" s="272">
        <v>0</v>
      </c>
      <c r="AJ74" s="272">
        <v>3290.5270089999999</v>
      </c>
      <c r="AK74" s="186">
        <v>0</v>
      </c>
      <c r="AL74" s="174">
        <v>0</v>
      </c>
      <c r="AM74" s="272">
        <v>0</v>
      </c>
      <c r="AN74" s="272">
        <v>0</v>
      </c>
      <c r="AO74" s="272">
        <v>0</v>
      </c>
      <c r="AP74" s="272">
        <v>0</v>
      </c>
      <c r="AQ74" s="272">
        <v>0</v>
      </c>
      <c r="AR74" s="272">
        <v>0</v>
      </c>
      <c r="AS74" s="272">
        <v>8120.8189999999995</v>
      </c>
      <c r="AT74" s="272">
        <v>0</v>
      </c>
      <c r="AU74" s="272">
        <v>0</v>
      </c>
      <c r="AV74" s="272">
        <v>0</v>
      </c>
      <c r="AW74" s="272">
        <v>1442.92</v>
      </c>
      <c r="AX74" s="174">
        <v>0</v>
      </c>
      <c r="AY74" s="272">
        <v>0</v>
      </c>
      <c r="AZ74" s="272">
        <v>0</v>
      </c>
      <c r="BA74" s="272">
        <v>0</v>
      </c>
      <c r="BB74" s="272">
        <v>0</v>
      </c>
      <c r="BC74" s="272">
        <v>0</v>
      </c>
      <c r="BD74" s="272">
        <v>0</v>
      </c>
      <c r="BE74" s="272">
        <v>39.164000000000001</v>
      </c>
      <c r="BF74" s="272">
        <v>0</v>
      </c>
      <c r="BG74" s="272">
        <v>0</v>
      </c>
      <c r="BH74" s="272">
        <v>0</v>
      </c>
      <c r="BI74" s="186">
        <v>465.541</v>
      </c>
      <c r="BJ74" s="272">
        <v>0</v>
      </c>
      <c r="BK74" s="272">
        <v>0</v>
      </c>
      <c r="BL74" s="272">
        <v>0</v>
      </c>
      <c r="BM74" s="272">
        <v>0</v>
      </c>
      <c r="BN74" s="272">
        <v>0</v>
      </c>
      <c r="BO74" s="272">
        <v>0</v>
      </c>
      <c r="BP74" s="272">
        <v>679.85900000000004</v>
      </c>
      <c r="BQ74" s="272">
        <v>0</v>
      </c>
      <c r="BR74" s="272">
        <v>1276.2750000000001</v>
      </c>
      <c r="BS74" s="272">
        <v>0</v>
      </c>
      <c r="BT74" s="272">
        <v>97.180999999999997</v>
      </c>
      <c r="BU74" s="186">
        <v>0</v>
      </c>
      <c r="BV74" s="272">
        <v>0</v>
      </c>
      <c r="BW74" s="272">
        <v>0</v>
      </c>
      <c r="BX74" s="272">
        <v>0</v>
      </c>
      <c r="BY74" s="272">
        <v>0</v>
      </c>
      <c r="BZ74" s="272">
        <v>0</v>
      </c>
      <c r="CA74" s="272">
        <v>0</v>
      </c>
      <c r="CB74" s="272">
        <v>0</v>
      </c>
      <c r="CC74" s="272">
        <v>0</v>
      </c>
      <c r="CD74" s="272">
        <v>0</v>
      </c>
      <c r="CE74" s="272">
        <v>0</v>
      </c>
      <c r="CF74" s="272">
        <v>227.52449999999999</v>
      </c>
      <c r="CG74" s="272">
        <v>0</v>
      </c>
      <c r="CH74" s="19">
        <v>0</v>
      </c>
      <c r="CI74" s="22">
        <v>0</v>
      </c>
      <c r="CJ74" s="22">
        <v>0</v>
      </c>
      <c r="CK74" s="22">
        <v>0</v>
      </c>
      <c r="CL74" s="22">
        <v>0</v>
      </c>
      <c r="CM74" s="22">
        <v>0</v>
      </c>
      <c r="CN74" s="22">
        <v>0</v>
      </c>
      <c r="CO74" s="22">
        <v>0</v>
      </c>
      <c r="CP74" s="22">
        <v>0</v>
      </c>
      <c r="CQ74" s="22">
        <v>0</v>
      </c>
      <c r="CR74" s="22">
        <v>0</v>
      </c>
      <c r="CS74" s="12">
        <v>0</v>
      </c>
      <c r="CT74" s="90">
        <v>0</v>
      </c>
      <c r="CU74" s="94">
        <v>0</v>
      </c>
      <c r="CV74" s="94">
        <v>0</v>
      </c>
      <c r="CW74" s="94">
        <v>0</v>
      </c>
      <c r="CX74" s="94">
        <v>0</v>
      </c>
      <c r="CY74" s="94">
        <v>0</v>
      </c>
      <c r="CZ74" s="94">
        <v>0</v>
      </c>
      <c r="DA74" s="94">
        <v>0</v>
      </c>
      <c r="DB74" s="94">
        <v>0</v>
      </c>
      <c r="DC74" s="94">
        <v>0</v>
      </c>
      <c r="DD74" s="94">
        <v>0</v>
      </c>
      <c r="DE74" s="28">
        <v>0</v>
      </c>
      <c r="DF74" s="90">
        <v>0</v>
      </c>
      <c r="DG74" s="94">
        <v>0</v>
      </c>
      <c r="DH74" s="94">
        <v>0</v>
      </c>
      <c r="DI74" s="94">
        <v>0</v>
      </c>
      <c r="DJ74" s="94">
        <v>0</v>
      </c>
      <c r="DK74" s="94">
        <v>0</v>
      </c>
      <c r="DL74" s="94">
        <v>0</v>
      </c>
      <c r="DM74" s="94">
        <v>0</v>
      </c>
      <c r="DN74" s="94">
        <v>0</v>
      </c>
      <c r="DO74" s="94">
        <v>0</v>
      </c>
      <c r="DP74" s="94">
        <v>0</v>
      </c>
      <c r="DQ74" s="28">
        <v>0</v>
      </c>
      <c r="DR74" s="90">
        <v>0</v>
      </c>
      <c r="DS74" s="94">
        <v>0</v>
      </c>
      <c r="DT74" s="94">
        <v>0</v>
      </c>
      <c r="DU74" s="94">
        <v>0</v>
      </c>
      <c r="DV74" s="94">
        <v>0</v>
      </c>
      <c r="DW74" s="94">
        <v>0</v>
      </c>
      <c r="DX74" s="94">
        <v>0</v>
      </c>
      <c r="DY74" s="94">
        <v>0</v>
      </c>
      <c r="DZ74" s="94">
        <v>0</v>
      </c>
      <c r="EA74" s="94">
        <v>0</v>
      </c>
      <c r="EB74" s="94">
        <v>0</v>
      </c>
      <c r="EC74" s="28">
        <v>0</v>
      </c>
      <c r="ED74" s="186">
        <f t="shared" si="244"/>
        <v>15926.550508999999</v>
      </c>
      <c r="EE74" s="32"/>
    </row>
    <row r="75" spans="1:138" ht="13.9" customHeight="1">
      <c r="A75" s="219" t="s">
        <v>1598</v>
      </c>
      <c r="B75" s="258"/>
      <c r="M75" s="19"/>
      <c r="N75" s="272">
        <v>0</v>
      </c>
      <c r="O75" s="272">
        <v>0</v>
      </c>
      <c r="P75" s="272">
        <v>0</v>
      </c>
      <c r="Q75" s="272">
        <v>0</v>
      </c>
      <c r="R75" s="272">
        <v>0</v>
      </c>
      <c r="S75" s="272">
        <v>0</v>
      </c>
      <c r="T75" s="272">
        <v>0</v>
      </c>
      <c r="U75" s="272">
        <v>0</v>
      </c>
      <c r="V75" s="272">
        <v>0</v>
      </c>
      <c r="W75" s="272">
        <v>0</v>
      </c>
      <c r="X75" s="272">
        <v>0</v>
      </c>
      <c r="Y75" s="272">
        <v>0</v>
      </c>
      <c r="Z75" s="174">
        <v>0</v>
      </c>
      <c r="AA75" s="272">
        <v>0</v>
      </c>
      <c r="AB75" s="272">
        <v>0</v>
      </c>
      <c r="AC75" s="272">
        <v>0</v>
      </c>
      <c r="AD75" s="272">
        <v>0</v>
      </c>
      <c r="AE75" s="272">
        <v>0</v>
      </c>
      <c r="AF75" s="272">
        <v>0</v>
      </c>
      <c r="AG75" s="272">
        <v>0</v>
      </c>
      <c r="AH75" s="272">
        <v>0</v>
      </c>
      <c r="AI75" s="272">
        <v>0</v>
      </c>
      <c r="AJ75" s="272">
        <v>0</v>
      </c>
      <c r="AK75" s="186">
        <v>0</v>
      </c>
      <c r="AL75" s="174">
        <v>0</v>
      </c>
      <c r="AM75" s="272">
        <v>0</v>
      </c>
      <c r="AN75" s="272">
        <v>0</v>
      </c>
      <c r="AO75" s="272">
        <v>0</v>
      </c>
      <c r="AP75" s="272">
        <v>0</v>
      </c>
      <c r="AQ75" s="272">
        <v>0</v>
      </c>
      <c r="AR75" s="272">
        <v>0</v>
      </c>
      <c r="AS75" s="272">
        <v>0</v>
      </c>
      <c r="AT75" s="272">
        <v>0</v>
      </c>
      <c r="AU75" s="272">
        <v>0</v>
      </c>
      <c r="AV75" s="272">
        <v>0</v>
      </c>
      <c r="AW75" s="272">
        <v>0</v>
      </c>
      <c r="AX75" s="174">
        <v>0</v>
      </c>
      <c r="AY75" s="272">
        <v>0</v>
      </c>
      <c r="AZ75" s="272">
        <v>0</v>
      </c>
      <c r="BA75" s="272">
        <v>0</v>
      </c>
      <c r="BB75" s="272">
        <v>0</v>
      </c>
      <c r="BC75" s="272">
        <v>0</v>
      </c>
      <c r="BD75" s="272">
        <v>0</v>
      </c>
      <c r="BE75" s="272">
        <v>0</v>
      </c>
      <c r="BF75" s="272">
        <v>0</v>
      </c>
      <c r="BG75" s="272">
        <v>0</v>
      </c>
      <c r="BH75" s="272">
        <v>0</v>
      </c>
      <c r="BI75" s="186">
        <v>0</v>
      </c>
      <c r="BJ75" s="272">
        <v>0</v>
      </c>
      <c r="BK75" s="272">
        <v>0</v>
      </c>
      <c r="BL75" s="272">
        <v>0</v>
      </c>
      <c r="BM75" s="272">
        <v>0</v>
      </c>
      <c r="BN75" s="272">
        <v>0</v>
      </c>
      <c r="BO75" s="272">
        <v>0</v>
      </c>
      <c r="BP75" s="272">
        <v>0</v>
      </c>
      <c r="BQ75" s="272">
        <v>452.65300000000002</v>
      </c>
      <c r="BR75" s="272">
        <v>121.358</v>
      </c>
      <c r="BS75" s="272">
        <v>0</v>
      </c>
      <c r="BT75" s="272">
        <v>0</v>
      </c>
      <c r="BU75" s="186">
        <v>0</v>
      </c>
      <c r="BV75" s="272">
        <v>0</v>
      </c>
      <c r="BW75" s="272">
        <v>0</v>
      </c>
      <c r="BX75" s="272">
        <v>0</v>
      </c>
      <c r="BY75" s="272">
        <v>0</v>
      </c>
      <c r="BZ75" s="272">
        <v>0</v>
      </c>
      <c r="CA75" s="272">
        <v>0</v>
      </c>
      <c r="CB75" s="272">
        <v>0</v>
      </c>
      <c r="CC75" s="272">
        <v>0</v>
      </c>
      <c r="CD75" s="272">
        <v>0</v>
      </c>
      <c r="CE75" s="272">
        <v>0</v>
      </c>
      <c r="CF75" s="272">
        <v>0</v>
      </c>
      <c r="CG75" s="272">
        <v>0</v>
      </c>
      <c r="CH75" s="19">
        <v>0</v>
      </c>
      <c r="CI75" s="22">
        <v>0</v>
      </c>
      <c r="CJ75" s="22">
        <v>0</v>
      </c>
      <c r="CK75" s="22">
        <v>0</v>
      </c>
      <c r="CL75" s="22">
        <v>0</v>
      </c>
      <c r="CM75" s="22">
        <v>0</v>
      </c>
      <c r="CN75" s="22">
        <v>0</v>
      </c>
      <c r="CO75" s="22">
        <v>0</v>
      </c>
      <c r="CP75" s="22">
        <v>0</v>
      </c>
      <c r="CQ75" s="22">
        <v>0</v>
      </c>
      <c r="CR75" s="22">
        <v>0</v>
      </c>
      <c r="CS75" s="12">
        <v>0</v>
      </c>
      <c r="CT75" s="90">
        <v>0</v>
      </c>
      <c r="CU75" s="94">
        <v>0</v>
      </c>
      <c r="CV75" s="94">
        <v>0</v>
      </c>
      <c r="CW75" s="94">
        <v>0</v>
      </c>
      <c r="CX75" s="94">
        <v>0</v>
      </c>
      <c r="CY75" s="94">
        <v>0</v>
      </c>
      <c r="CZ75" s="94">
        <v>0</v>
      </c>
      <c r="DA75" s="94">
        <v>0</v>
      </c>
      <c r="DB75" s="94">
        <v>0</v>
      </c>
      <c r="DC75" s="94">
        <v>0</v>
      </c>
      <c r="DD75" s="94">
        <v>0</v>
      </c>
      <c r="DE75" s="28">
        <v>0</v>
      </c>
      <c r="DF75" s="90">
        <v>0</v>
      </c>
      <c r="DG75" s="94">
        <v>0</v>
      </c>
      <c r="DH75" s="94">
        <v>0</v>
      </c>
      <c r="DI75" s="94">
        <v>0</v>
      </c>
      <c r="DJ75" s="94">
        <v>0</v>
      </c>
      <c r="DK75" s="94">
        <v>0</v>
      </c>
      <c r="DL75" s="94">
        <v>0</v>
      </c>
      <c r="DM75" s="94">
        <v>0</v>
      </c>
      <c r="DN75" s="94">
        <v>0</v>
      </c>
      <c r="DO75" s="94">
        <v>0</v>
      </c>
      <c r="DP75" s="94">
        <v>0</v>
      </c>
      <c r="DQ75" s="28">
        <v>0</v>
      </c>
      <c r="DR75" s="90">
        <v>0</v>
      </c>
      <c r="DS75" s="94">
        <v>0</v>
      </c>
      <c r="DT75" s="94">
        <v>0</v>
      </c>
      <c r="DU75" s="94">
        <v>0</v>
      </c>
      <c r="DV75" s="94">
        <v>0</v>
      </c>
      <c r="DW75" s="94">
        <v>0</v>
      </c>
      <c r="DX75" s="94">
        <v>0</v>
      </c>
      <c r="DY75" s="94">
        <v>0</v>
      </c>
      <c r="DZ75" s="94">
        <v>0</v>
      </c>
      <c r="EA75" s="94">
        <v>0</v>
      </c>
      <c r="EB75" s="94">
        <v>0</v>
      </c>
      <c r="EC75" s="28">
        <v>0</v>
      </c>
      <c r="ED75" s="186">
        <f t="shared" si="244"/>
        <v>574.01099999999997</v>
      </c>
      <c r="EE75" s="32"/>
    </row>
    <row r="76" spans="1:138" ht="13.9" customHeight="1">
      <c r="A76" s="125" t="s">
        <v>1397</v>
      </c>
      <c r="B76" s="258"/>
      <c r="M76" s="19"/>
      <c r="N76" s="272">
        <v>0</v>
      </c>
      <c r="O76" s="272">
        <v>0</v>
      </c>
      <c r="P76" s="272">
        <v>0</v>
      </c>
      <c r="Q76" s="272">
        <v>0</v>
      </c>
      <c r="R76" s="272">
        <v>0</v>
      </c>
      <c r="S76" s="272">
        <v>0</v>
      </c>
      <c r="T76" s="272">
        <v>0</v>
      </c>
      <c r="U76" s="272">
        <v>0</v>
      </c>
      <c r="V76" s="272">
        <v>0</v>
      </c>
      <c r="W76" s="272">
        <v>0</v>
      </c>
      <c r="X76" s="272">
        <v>0</v>
      </c>
      <c r="Y76" s="272">
        <v>0</v>
      </c>
      <c r="Z76" s="174">
        <v>0</v>
      </c>
      <c r="AA76" s="272">
        <v>0</v>
      </c>
      <c r="AB76" s="272">
        <v>0</v>
      </c>
      <c r="AC76" s="272">
        <v>0</v>
      </c>
      <c r="AD76" s="272">
        <v>0</v>
      </c>
      <c r="AE76" s="272">
        <v>0</v>
      </c>
      <c r="AF76" s="272">
        <v>0</v>
      </c>
      <c r="AG76" s="272">
        <v>0</v>
      </c>
      <c r="AH76" s="272">
        <v>0</v>
      </c>
      <c r="AI76" s="272">
        <v>0</v>
      </c>
      <c r="AJ76" s="272">
        <v>0</v>
      </c>
      <c r="AK76" s="186">
        <v>0</v>
      </c>
      <c r="AL76" s="174">
        <v>0</v>
      </c>
      <c r="AM76" s="272">
        <v>0</v>
      </c>
      <c r="AN76" s="272">
        <v>0</v>
      </c>
      <c r="AO76" s="272">
        <v>0</v>
      </c>
      <c r="AP76" s="272">
        <v>0</v>
      </c>
      <c r="AQ76" s="272">
        <v>0</v>
      </c>
      <c r="AR76" s="272">
        <v>0</v>
      </c>
      <c r="AS76" s="272">
        <v>0</v>
      </c>
      <c r="AT76" s="272">
        <v>0</v>
      </c>
      <c r="AU76" s="272">
        <v>0</v>
      </c>
      <c r="AV76" s="272">
        <v>0</v>
      </c>
      <c r="AW76" s="272">
        <v>0</v>
      </c>
      <c r="AX76" s="174">
        <v>0</v>
      </c>
      <c r="AY76" s="272">
        <v>507.80599999999998</v>
      </c>
      <c r="AZ76" s="272">
        <v>0</v>
      </c>
      <c r="BA76" s="272">
        <v>0</v>
      </c>
      <c r="BB76" s="272">
        <v>0</v>
      </c>
      <c r="BC76" s="272">
        <v>0</v>
      </c>
      <c r="BD76" s="272">
        <v>5494.93</v>
      </c>
      <c r="BE76" s="272">
        <v>0</v>
      </c>
      <c r="BF76" s="272">
        <v>0</v>
      </c>
      <c r="BG76" s="272">
        <v>0</v>
      </c>
      <c r="BH76" s="272">
        <v>0</v>
      </c>
      <c r="BI76" s="186">
        <v>0</v>
      </c>
      <c r="BJ76" s="272">
        <v>0</v>
      </c>
      <c r="BK76" s="272">
        <v>0</v>
      </c>
      <c r="BL76" s="272">
        <v>0</v>
      </c>
      <c r="BM76" s="272">
        <v>908.24400000000003</v>
      </c>
      <c r="BN76" s="272">
        <v>2204.9259999999999</v>
      </c>
      <c r="BO76" s="272">
        <v>0</v>
      </c>
      <c r="BP76" s="272">
        <v>439.63499999999999</v>
      </c>
      <c r="BQ76" s="272">
        <v>0</v>
      </c>
      <c r="BR76" s="272">
        <v>191.83099999999999</v>
      </c>
      <c r="BS76" s="272">
        <v>0</v>
      </c>
      <c r="BT76" s="272">
        <v>0</v>
      </c>
      <c r="BU76" s="186">
        <v>0</v>
      </c>
      <c r="BV76" s="272">
        <v>538.38299999999992</v>
      </c>
      <c r="BW76" s="272">
        <v>0</v>
      </c>
      <c r="BX76" s="272">
        <v>0</v>
      </c>
      <c r="BY76" s="272">
        <v>87.86</v>
      </c>
      <c r="BZ76" s="272">
        <v>0</v>
      </c>
      <c r="CA76" s="272">
        <v>0</v>
      </c>
      <c r="CB76" s="272">
        <v>0</v>
      </c>
      <c r="CC76" s="272">
        <v>0</v>
      </c>
      <c r="CD76" s="272">
        <v>0</v>
      </c>
      <c r="CE76" s="272">
        <v>0</v>
      </c>
      <c r="CF76" s="272">
        <v>0</v>
      </c>
      <c r="CG76" s="272">
        <v>0</v>
      </c>
      <c r="CH76" s="19">
        <v>0</v>
      </c>
      <c r="CI76" s="22">
        <v>0</v>
      </c>
      <c r="CJ76" s="22">
        <v>0</v>
      </c>
      <c r="CK76" s="22">
        <v>0</v>
      </c>
      <c r="CL76" s="22">
        <v>0</v>
      </c>
      <c r="CM76" s="22">
        <v>0</v>
      </c>
      <c r="CN76" s="22">
        <v>0</v>
      </c>
      <c r="CO76" s="22">
        <v>0</v>
      </c>
      <c r="CP76" s="22">
        <v>0</v>
      </c>
      <c r="CQ76" s="22">
        <v>0</v>
      </c>
      <c r="CR76" s="22">
        <v>0</v>
      </c>
      <c r="CS76" s="12">
        <v>0</v>
      </c>
      <c r="CT76" s="90">
        <v>0</v>
      </c>
      <c r="CU76" s="94">
        <v>0</v>
      </c>
      <c r="CV76" s="94">
        <v>0</v>
      </c>
      <c r="CW76" s="94">
        <v>0</v>
      </c>
      <c r="CX76" s="94">
        <v>0</v>
      </c>
      <c r="CY76" s="94">
        <v>0</v>
      </c>
      <c r="CZ76" s="94">
        <v>0</v>
      </c>
      <c r="DA76" s="94">
        <v>0</v>
      </c>
      <c r="DB76" s="94">
        <v>0</v>
      </c>
      <c r="DC76" s="94">
        <v>0</v>
      </c>
      <c r="DD76" s="94">
        <v>0</v>
      </c>
      <c r="DE76" s="28">
        <v>0</v>
      </c>
      <c r="DF76" s="90">
        <v>0</v>
      </c>
      <c r="DG76" s="94">
        <v>0</v>
      </c>
      <c r="DH76" s="94">
        <v>0</v>
      </c>
      <c r="DI76" s="94">
        <v>0</v>
      </c>
      <c r="DJ76" s="94">
        <v>0</v>
      </c>
      <c r="DK76" s="94">
        <v>0</v>
      </c>
      <c r="DL76" s="94">
        <v>0</v>
      </c>
      <c r="DM76" s="94">
        <v>0</v>
      </c>
      <c r="DN76" s="94">
        <v>0</v>
      </c>
      <c r="DO76" s="94">
        <v>0</v>
      </c>
      <c r="DP76" s="94">
        <v>0</v>
      </c>
      <c r="DQ76" s="28">
        <v>0</v>
      </c>
      <c r="DR76" s="90">
        <v>0</v>
      </c>
      <c r="DS76" s="94">
        <v>0</v>
      </c>
      <c r="DT76" s="94">
        <v>0</v>
      </c>
      <c r="DU76" s="94">
        <v>0</v>
      </c>
      <c r="DV76" s="94">
        <v>0</v>
      </c>
      <c r="DW76" s="94">
        <v>0</v>
      </c>
      <c r="DX76" s="94">
        <v>0</v>
      </c>
      <c r="DY76" s="94">
        <v>0</v>
      </c>
      <c r="DZ76" s="94">
        <v>0</v>
      </c>
      <c r="EA76" s="94">
        <v>0</v>
      </c>
      <c r="EB76" s="94">
        <v>0</v>
      </c>
      <c r="EC76" s="28">
        <v>0</v>
      </c>
      <c r="ED76" s="186">
        <f t="shared" si="244"/>
        <v>10373.615</v>
      </c>
      <c r="EE76" s="32"/>
      <c r="EH76" t="s">
        <v>1127</v>
      </c>
    </row>
    <row r="77" spans="1:138" ht="13.9" customHeight="1">
      <c r="A77" s="219" t="s">
        <v>1398</v>
      </c>
      <c r="B77" s="258"/>
      <c r="M77" s="19"/>
      <c r="N77" s="272">
        <v>0</v>
      </c>
      <c r="O77" s="272">
        <v>0</v>
      </c>
      <c r="P77" s="272">
        <v>0</v>
      </c>
      <c r="Q77" s="272">
        <v>0</v>
      </c>
      <c r="R77" s="272">
        <v>0</v>
      </c>
      <c r="S77" s="272">
        <v>0</v>
      </c>
      <c r="T77" s="272">
        <v>0</v>
      </c>
      <c r="U77" s="272">
        <v>0</v>
      </c>
      <c r="V77" s="272">
        <v>0</v>
      </c>
      <c r="W77" s="272">
        <v>0</v>
      </c>
      <c r="X77" s="272">
        <v>0</v>
      </c>
      <c r="Y77" s="272">
        <v>0</v>
      </c>
      <c r="Z77" s="174">
        <v>0</v>
      </c>
      <c r="AA77" s="272">
        <v>0</v>
      </c>
      <c r="AB77" s="272">
        <v>0</v>
      </c>
      <c r="AC77" s="272">
        <v>0</v>
      </c>
      <c r="AD77" s="272">
        <v>0</v>
      </c>
      <c r="AE77" s="272">
        <v>0</v>
      </c>
      <c r="AF77" s="272">
        <v>0</v>
      </c>
      <c r="AG77" s="272">
        <v>0</v>
      </c>
      <c r="AH77" s="272">
        <v>0</v>
      </c>
      <c r="AI77" s="272">
        <v>0</v>
      </c>
      <c r="AJ77" s="272">
        <v>0</v>
      </c>
      <c r="AK77" s="186">
        <v>0</v>
      </c>
      <c r="AL77" s="174">
        <v>0</v>
      </c>
      <c r="AM77" s="272">
        <v>0</v>
      </c>
      <c r="AN77" s="272">
        <v>0</v>
      </c>
      <c r="AO77" s="272">
        <v>0</v>
      </c>
      <c r="AP77" s="272">
        <v>0</v>
      </c>
      <c r="AQ77" s="272">
        <v>0</v>
      </c>
      <c r="AR77" s="272">
        <v>0</v>
      </c>
      <c r="AS77" s="272">
        <v>0</v>
      </c>
      <c r="AT77" s="272">
        <v>0</v>
      </c>
      <c r="AU77" s="272">
        <v>0</v>
      </c>
      <c r="AV77" s="272">
        <v>0</v>
      </c>
      <c r="AW77" s="272">
        <v>0</v>
      </c>
      <c r="AX77" s="174">
        <v>0</v>
      </c>
      <c r="AY77" s="272">
        <v>0</v>
      </c>
      <c r="AZ77" s="272">
        <v>0</v>
      </c>
      <c r="BA77" s="272">
        <v>0</v>
      </c>
      <c r="BB77" s="272">
        <v>0</v>
      </c>
      <c r="BC77" s="272">
        <v>0</v>
      </c>
      <c r="BD77" s="272">
        <v>0</v>
      </c>
      <c r="BE77" s="272">
        <v>0</v>
      </c>
      <c r="BF77" s="272">
        <v>0</v>
      </c>
      <c r="BG77" s="272">
        <v>0</v>
      </c>
      <c r="BH77" s="272">
        <v>0</v>
      </c>
      <c r="BI77" s="186">
        <v>0</v>
      </c>
      <c r="BJ77" s="272">
        <v>0</v>
      </c>
      <c r="BK77" s="272">
        <v>0</v>
      </c>
      <c r="BL77" s="272">
        <v>0</v>
      </c>
      <c r="BM77" s="272">
        <v>0</v>
      </c>
      <c r="BN77" s="272">
        <v>0</v>
      </c>
      <c r="BO77" s="272">
        <v>0</v>
      </c>
      <c r="BP77" s="272">
        <v>0</v>
      </c>
      <c r="BQ77" s="272">
        <v>0</v>
      </c>
      <c r="BR77" s="272">
        <v>0</v>
      </c>
      <c r="BS77" s="272">
        <v>0</v>
      </c>
      <c r="BT77" s="272">
        <v>0</v>
      </c>
      <c r="BU77" s="186">
        <v>0</v>
      </c>
      <c r="BV77" s="272">
        <v>0</v>
      </c>
      <c r="BW77" s="272">
        <v>0</v>
      </c>
      <c r="BX77" s="272">
        <v>0</v>
      </c>
      <c r="BY77" s="272">
        <v>0</v>
      </c>
      <c r="BZ77" s="272">
        <v>0</v>
      </c>
      <c r="CA77" s="272">
        <v>0</v>
      </c>
      <c r="CB77" s="272">
        <v>0</v>
      </c>
      <c r="CC77" s="272">
        <v>0</v>
      </c>
      <c r="CD77" s="272">
        <v>0</v>
      </c>
      <c r="CE77" s="272">
        <v>0</v>
      </c>
      <c r="CF77" s="272">
        <v>0</v>
      </c>
      <c r="CG77" s="272">
        <v>0</v>
      </c>
      <c r="CH77" s="19">
        <v>0</v>
      </c>
      <c r="CI77" s="22">
        <v>0</v>
      </c>
      <c r="CJ77" s="22">
        <v>0</v>
      </c>
      <c r="CK77" s="22">
        <v>0</v>
      </c>
      <c r="CL77" s="22">
        <v>0</v>
      </c>
      <c r="CM77" s="22">
        <v>0</v>
      </c>
      <c r="CN77" s="22">
        <v>0</v>
      </c>
      <c r="CO77" s="22">
        <v>0</v>
      </c>
      <c r="CP77" s="22">
        <v>0</v>
      </c>
      <c r="CQ77" s="22">
        <v>0</v>
      </c>
      <c r="CR77" s="22">
        <v>0</v>
      </c>
      <c r="CS77" s="12">
        <v>0</v>
      </c>
      <c r="CT77" s="90">
        <v>2795.1450000000004</v>
      </c>
      <c r="CU77" s="94">
        <v>0</v>
      </c>
      <c r="CV77" s="94">
        <v>0</v>
      </c>
      <c r="CW77" s="94">
        <v>0</v>
      </c>
      <c r="CX77" s="94">
        <v>0</v>
      </c>
      <c r="CY77" s="94">
        <v>0</v>
      </c>
      <c r="CZ77" s="94">
        <v>0</v>
      </c>
      <c r="DA77" s="94">
        <v>0</v>
      </c>
      <c r="DB77" s="94">
        <v>0</v>
      </c>
      <c r="DC77" s="94">
        <v>0</v>
      </c>
      <c r="DD77" s="94">
        <v>0</v>
      </c>
      <c r="DE77" s="28">
        <v>0</v>
      </c>
      <c r="DF77" s="90">
        <v>0</v>
      </c>
      <c r="DG77" s="94">
        <v>0</v>
      </c>
      <c r="DH77" s="94">
        <v>0</v>
      </c>
      <c r="DI77" s="94">
        <v>0</v>
      </c>
      <c r="DJ77" s="94">
        <v>0</v>
      </c>
      <c r="DK77" s="94">
        <v>0</v>
      </c>
      <c r="DL77" s="94">
        <v>0</v>
      </c>
      <c r="DM77" s="94">
        <v>0</v>
      </c>
      <c r="DN77" s="94">
        <v>0</v>
      </c>
      <c r="DO77" s="94">
        <v>0</v>
      </c>
      <c r="DP77" s="94">
        <v>0</v>
      </c>
      <c r="DQ77" s="28">
        <v>0</v>
      </c>
      <c r="DR77" s="90">
        <v>0</v>
      </c>
      <c r="DS77" s="94">
        <v>0</v>
      </c>
      <c r="DT77" s="94">
        <v>0</v>
      </c>
      <c r="DU77" s="94">
        <v>0</v>
      </c>
      <c r="DV77" s="94">
        <v>0</v>
      </c>
      <c r="DW77" s="94">
        <v>0</v>
      </c>
      <c r="DX77" s="94">
        <v>0</v>
      </c>
      <c r="DY77" s="94">
        <v>0</v>
      </c>
      <c r="DZ77" s="94">
        <v>0</v>
      </c>
      <c r="EA77" s="94">
        <v>0</v>
      </c>
      <c r="EB77" s="94">
        <v>0</v>
      </c>
      <c r="EC77" s="28">
        <v>0</v>
      </c>
      <c r="ED77" s="186">
        <f t="shared" si="244"/>
        <v>2795.1450000000004</v>
      </c>
      <c r="EE77" s="32"/>
    </row>
    <row r="78" spans="1:138" ht="13.9" customHeight="1">
      <c r="A78" s="219" t="s">
        <v>749</v>
      </c>
      <c r="B78" s="258"/>
      <c r="M78" s="19"/>
      <c r="N78" s="272">
        <v>0</v>
      </c>
      <c r="O78" s="272">
        <v>0</v>
      </c>
      <c r="P78" s="272">
        <v>0</v>
      </c>
      <c r="Q78" s="272">
        <v>0</v>
      </c>
      <c r="R78" s="272">
        <v>0</v>
      </c>
      <c r="S78" s="272">
        <v>0</v>
      </c>
      <c r="T78" s="272">
        <v>0</v>
      </c>
      <c r="U78" s="272">
        <v>0</v>
      </c>
      <c r="V78" s="272">
        <v>0</v>
      </c>
      <c r="W78" s="272">
        <v>0</v>
      </c>
      <c r="X78" s="272">
        <v>0</v>
      </c>
      <c r="Y78" s="272">
        <v>0</v>
      </c>
      <c r="Z78" s="174">
        <v>0</v>
      </c>
      <c r="AA78" s="272">
        <v>0</v>
      </c>
      <c r="AB78" s="272">
        <v>0</v>
      </c>
      <c r="AC78" s="272">
        <v>0</v>
      </c>
      <c r="AD78" s="272">
        <v>0</v>
      </c>
      <c r="AE78" s="272">
        <v>0</v>
      </c>
      <c r="AF78" s="272">
        <v>0</v>
      </c>
      <c r="AG78" s="272">
        <v>0</v>
      </c>
      <c r="AH78" s="272">
        <v>0</v>
      </c>
      <c r="AI78" s="272">
        <v>0</v>
      </c>
      <c r="AJ78" s="272">
        <v>0</v>
      </c>
      <c r="AK78" s="186">
        <v>0</v>
      </c>
      <c r="AL78" s="174">
        <v>0</v>
      </c>
      <c r="AM78" s="272">
        <v>0</v>
      </c>
      <c r="AN78" s="272">
        <v>0</v>
      </c>
      <c r="AO78" s="272">
        <v>0</v>
      </c>
      <c r="AP78" s="272">
        <v>0</v>
      </c>
      <c r="AQ78" s="272">
        <v>0</v>
      </c>
      <c r="AR78" s="272">
        <v>0</v>
      </c>
      <c r="AS78" s="272">
        <v>0</v>
      </c>
      <c r="AT78" s="272">
        <v>0</v>
      </c>
      <c r="AU78" s="272">
        <v>0</v>
      </c>
      <c r="AV78" s="272">
        <v>0</v>
      </c>
      <c r="AW78" s="272">
        <v>0</v>
      </c>
      <c r="AX78" s="174">
        <v>0</v>
      </c>
      <c r="AY78" s="272">
        <v>0</v>
      </c>
      <c r="AZ78" s="272">
        <v>0</v>
      </c>
      <c r="BA78" s="272">
        <v>0</v>
      </c>
      <c r="BB78" s="272">
        <v>0</v>
      </c>
      <c r="BC78" s="272">
        <v>0</v>
      </c>
      <c r="BD78" s="272">
        <v>0</v>
      </c>
      <c r="BE78" s="272">
        <v>0</v>
      </c>
      <c r="BF78" s="272">
        <v>0</v>
      </c>
      <c r="BG78" s="272">
        <v>0</v>
      </c>
      <c r="BH78" s="272">
        <v>0</v>
      </c>
      <c r="BI78" s="186">
        <v>0</v>
      </c>
      <c r="BJ78" s="272">
        <v>0</v>
      </c>
      <c r="BK78" s="272">
        <v>0</v>
      </c>
      <c r="BL78" s="272">
        <v>0</v>
      </c>
      <c r="BM78" s="272">
        <v>0</v>
      </c>
      <c r="BN78" s="272">
        <v>0</v>
      </c>
      <c r="BO78" s="272">
        <v>597.923</v>
      </c>
      <c r="BP78" s="272">
        <v>0</v>
      </c>
      <c r="BQ78" s="272">
        <v>0</v>
      </c>
      <c r="BR78" s="272">
        <v>0</v>
      </c>
      <c r="BS78" s="272">
        <v>0</v>
      </c>
      <c r="BT78" s="272">
        <v>0</v>
      </c>
      <c r="BU78" s="186">
        <v>0</v>
      </c>
      <c r="BV78" s="272">
        <v>0</v>
      </c>
      <c r="BW78" s="272">
        <v>0</v>
      </c>
      <c r="BX78" s="272">
        <v>0</v>
      </c>
      <c r="BY78" s="272">
        <v>0</v>
      </c>
      <c r="BZ78" s="272">
        <v>0</v>
      </c>
      <c r="CA78" s="272">
        <v>0</v>
      </c>
      <c r="CB78" s="272">
        <v>0</v>
      </c>
      <c r="CC78" s="272">
        <v>0</v>
      </c>
      <c r="CD78" s="272">
        <v>0</v>
      </c>
      <c r="CE78" s="272">
        <v>0</v>
      </c>
      <c r="CF78" s="272">
        <v>0</v>
      </c>
      <c r="CG78" s="272">
        <v>0</v>
      </c>
      <c r="CH78" s="19">
        <v>0</v>
      </c>
      <c r="CI78" s="22">
        <v>0</v>
      </c>
      <c r="CJ78" s="22">
        <v>0</v>
      </c>
      <c r="CK78" s="22">
        <v>0</v>
      </c>
      <c r="CL78" s="22">
        <v>0</v>
      </c>
      <c r="CM78" s="22">
        <v>0</v>
      </c>
      <c r="CN78" s="22">
        <v>0</v>
      </c>
      <c r="CO78" s="22">
        <v>0</v>
      </c>
      <c r="CP78" s="22">
        <v>0</v>
      </c>
      <c r="CQ78" s="22">
        <v>0</v>
      </c>
      <c r="CR78" s="22">
        <v>0</v>
      </c>
      <c r="CS78" s="12">
        <v>0</v>
      </c>
      <c r="CT78" s="90">
        <v>0</v>
      </c>
      <c r="CU78" s="94">
        <v>0</v>
      </c>
      <c r="CV78" s="94">
        <v>0</v>
      </c>
      <c r="CW78" s="94">
        <v>0</v>
      </c>
      <c r="CX78" s="94">
        <v>0</v>
      </c>
      <c r="CY78" s="94">
        <v>0</v>
      </c>
      <c r="CZ78" s="94">
        <v>0</v>
      </c>
      <c r="DA78" s="94">
        <v>0</v>
      </c>
      <c r="DB78" s="94">
        <v>0</v>
      </c>
      <c r="DC78" s="94">
        <v>0</v>
      </c>
      <c r="DD78" s="94">
        <v>0</v>
      </c>
      <c r="DE78" s="28">
        <v>0</v>
      </c>
      <c r="DF78" s="90">
        <v>0</v>
      </c>
      <c r="DG78" s="94">
        <v>0</v>
      </c>
      <c r="DH78" s="94">
        <v>0</v>
      </c>
      <c r="DI78" s="94">
        <v>0</v>
      </c>
      <c r="DJ78" s="94">
        <v>0</v>
      </c>
      <c r="DK78" s="94">
        <v>0</v>
      </c>
      <c r="DL78" s="94">
        <v>0</v>
      </c>
      <c r="DM78" s="94">
        <v>0</v>
      </c>
      <c r="DN78" s="94">
        <v>0</v>
      </c>
      <c r="DO78" s="94">
        <v>0</v>
      </c>
      <c r="DP78" s="94">
        <v>0</v>
      </c>
      <c r="DQ78" s="28">
        <v>0</v>
      </c>
      <c r="DR78" s="90">
        <v>0</v>
      </c>
      <c r="DS78" s="94">
        <v>0</v>
      </c>
      <c r="DT78" s="94">
        <v>0</v>
      </c>
      <c r="DU78" s="94">
        <v>0</v>
      </c>
      <c r="DV78" s="94">
        <v>0</v>
      </c>
      <c r="DW78" s="94">
        <v>0</v>
      </c>
      <c r="DX78" s="94">
        <v>0</v>
      </c>
      <c r="DY78" s="94">
        <v>0</v>
      </c>
      <c r="DZ78" s="94">
        <v>0</v>
      </c>
      <c r="EA78" s="94">
        <v>0</v>
      </c>
      <c r="EB78" s="94">
        <v>0</v>
      </c>
      <c r="EC78" s="28">
        <v>0</v>
      </c>
      <c r="ED78" s="186">
        <f t="shared" si="244"/>
        <v>597.923</v>
      </c>
      <c r="EE78" s="32"/>
    </row>
    <row r="79" spans="1:138" ht="13.9" customHeight="1">
      <c r="A79" s="125" t="s">
        <v>978</v>
      </c>
      <c r="B79" s="258"/>
      <c r="M79" s="19"/>
      <c r="N79" s="272">
        <v>0</v>
      </c>
      <c r="O79" s="272">
        <v>0</v>
      </c>
      <c r="P79" s="272">
        <v>0</v>
      </c>
      <c r="Q79" s="272">
        <v>0</v>
      </c>
      <c r="R79" s="272">
        <v>0</v>
      </c>
      <c r="S79" s="272">
        <v>0</v>
      </c>
      <c r="T79" s="272">
        <v>0</v>
      </c>
      <c r="U79" s="272">
        <v>0</v>
      </c>
      <c r="V79" s="272">
        <v>0</v>
      </c>
      <c r="W79" s="272">
        <v>0</v>
      </c>
      <c r="X79" s="272">
        <v>0</v>
      </c>
      <c r="Y79" s="272">
        <v>0</v>
      </c>
      <c r="Z79" s="174">
        <v>0</v>
      </c>
      <c r="AA79" s="272">
        <v>0</v>
      </c>
      <c r="AB79" s="272">
        <v>0</v>
      </c>
      <c r="AC79" s="272">
        <v>0</v>
      </c>
      <c r="AD79" s="272">
        <v>0</v>
      </c>
      <c r="AE79" s="272">
        <v>0</v>
      </c>
      <c r="AF79" s="272">
        <v>0</v>
      </c>
      <c r="AG79" s="272">
        <v>0</v>
      </c>
      <c r="AH79" s="272">
        <v>0</v>
      </c>
      <c r="AI79" s="272">
        <v>0</v>
      </c>
      <c r="AJ79" s="272">
        <v>0</v>
      </c>
      <c r="AK79" s="186">
        <v>0</v>
      </c>
      <c r="AL79" s="174">
        <v>0</v>
      </c>
      <c r="AM79" s="272">
        <v>0</v>
      </c>
      <c r="AN79" s="272">
        <v>0</v>
      </c>
      <c r="AO79" s="272">
        <v>0</v>
      </c>
      <c r="AP79" s="272">
        <v>0</v>
      </c>
      <c r="AQ79" s="272">
        <v>0</v>
      </c>
      <c r="AR79" s="272">
        <v>0</v>
      </c>
      <c r="AS79" s="272">
        <v>0</v>
      </c>
      <c r="AT79" s="272">
        <v>0</v>
      </c>
      <c r="AU79" s="272">
        <v>0</v>
      </c>
      <c r="AV79" s="272">
        <v>0</v>
      </c>
      <c r="AW79" s="272">
        <v>0</v>
      </c>
      <c r="AX79" s="174">
        <v>0</v>
      </c>
      <c r="AY79" s="272">
        <v>0</v>
      </c>
      <c r="AZ79" s="272">
        <v>0</v>
      </c>
      <c r="BA79" s="272">
        <v>0</v>
      </c>
      <c r="BB79" s="272">
        <v>0</v>
      </c>
      <c r="BC79" s="272">
        <v>0</v>
      </c>
      <c r="BD79" s="272">
        <v>0</v>
      </c>
      <c r="BE79" s="272">
        <v>0</v>
      </c>
      <c r="BF79" s="272">
        <v>0</v>
      </c>
      <c r="BG79" s="272">
        <v>0</v>
      </c>
      <c r="BH79" s="272">
        <v>0</v>
      </c>
      <c r="BI79" s="186">
        <v>0</v>
      </c>
      <c r="BJ79" s="272">
        <v>0</v>
      </c>
      <c r="BK79" s="272">
        <v>1104.940292</v>
      </c>
      <c r="BL79" s="272">
        <v>0</v>
      </c>
      <c r="BM79" s="272">
        <v>0</v>
      </c>
      <c r="BN79" s="272">
        <v>0</v>
      </c>
      <c r="BO79" s="272">
        <v>0</v>
      </c>
      <c r="BP79" s="272">
        <v>0</v>
      </c>
      <c r="BQ79" s="272">
        <v>0</v>
      </c>
      <c r="BR79" s="272">
        <v>0</v>
      </c>
      <c r="BS79" s="272">
        <v>0</v>
      </c>
      <c r="BT79" s="272">
        <v>0</v>
      </c>
      <c r="BU79" s="186">
        <v>0</v>
      </c>
      <c r="BV79" s="272">
        <v>0</v>
      </c>
      <c r="BW79" s="272">
        <v>0</v>
      </c>
      <c r="BX79" s="272">
        <v>0</v>
      </c>
      <c r="BY79" s="272">
        <v>0</v>
      </c>
      <c r="BZ79" s="272">
        <v>0</v>
      </c>
      <c r="CA79" s="272">
        <v>0</v>
      </c>
      <c r="CB79" s="272">
        <v>0</v>
      </c>
      <c r="CC79" s="272">
        <v>0</v>
      </c>
      <c r="CD79" s="272">
        <v>0</v>
      </c>
      <c r="CE79" s="272">
        <v>0</v>
      </c>
      <c r="CF79" s="272">
        <v>0</v>
      </c>
      <c r="CG79" s="272">
        <v>0</v>
      </c>
      <c r="CH79" s="19">
        <v>0</v>
      </c>
      <c r="CI79" s="22">
        <v>0</v>
      </c>
      <c r="CJ79" s="22">
        <v>0</v>
      </c>
      <c r="CK79" s="22">
        <v>0</v>
      </c>
      <c r="CL79" s="22">
        <v>0</v>
      </c>
      <c r="CM79" s="22">
        <v>0</v>
      </c>
      <c r="CN79" s="22">
        <v>0</v>
      </c>
      <c r="CO79" s="22">
        <v>0</v>
      </c>
      <c r="CP79" s="22">
        <v>0</v>
      </c>
      <c r="CQ79" s="22">
        <v>0</v>
      </c>
      <c r="CR79" s="22">
        <v>0</v>
      </c>
      <c r="CS79" s="12">
        <v>0</v>
      </c>
      <c r="CT79" s="90">
        <v>0</v>
      </c>
      <c r="CU79" s="94">
        <v>0</v>
      </c>
      <c r="CV79" s="94">
        <v>0</v>
      </c>
      <c r="CW79" s="94">
        <v>0</v>
      </c>
      <c r="CX79" s="94">
        <v>0</v>
      </c>
      <c r="CY79" s="94">
        <v>0</v>
      </c>
      <c r="CZ79" s="94">
        <v>0</v>
      </c>
      <c r="DA79" s="94">
        <v>0</v>
      </c>
      <c r="DB79" s="94">
        <v>0</v>
      </c>
      <c r="DC79" s="94">
        <v>0</v>
      </c>
      <c r="DD79" s="94">
        <v>0</v>
      </c>
      <c r="DE79" s="28">
        <v>0</v>
      </c>
      <c r="DF79" s="90">
        <v>0</v>
      </c>
      <c r="DG79" s="94">
        <v>0</v>
      </c>
      <c r="DH79" s="94">
        <v>0</v>
      </c>
      <c r="DI79" s="94">
        <v>0</v>
      </c>
      <c r="DJ79" s="94">
        <v>0</v>
      </c>
      <c r="DK79" s="94">
        <v>0</v>
      </c>
      <c r="DL79" s="94">
        <v>0</v>
      </c>
      <c r="DM79" s="94">
        <v>0</v>
      </c>
      <c r="DN79" s="94">
        <v>0</v>
      </c>
      <c r="DO79" s="94">
        <v>0</v>
      </c>
      <c r="DP79" s="94">
        <v>0</v>
      </c>
      <c r="DQ79" s="28">
        <v>0</v>
      </c>
      <c r="DR79" s="90">
        <v>0</v>
      </c>
      <c r="DS79" s="94">
        <v>0</v>
      </c>
      <c r="DT79" s="94">
        <v>0</v>
      </c>
      <c r="DU79" s="94">
        <v>0</v>
      </c>
      <c r="DV79" s="94">
        <v>0</v>
      </c>
      <c r="DW79" s="94">
        <v>0</v>
      </c>
      <c r="DX79" s="94">
        <v>0</v>
      </c>
      <c r="DY79" s="94">
        <v>0</v>
      </c>
      <c r="DZ79" s="94">
        <v>0</v>
      </c>
      <c r="EA79" s="94">
        <v>0</v>
      </c>
      <c r="EB79" s="94">
        <v>0</v>
      </c>
      <c r="EC79" s="28">
        <v>0</v>
      </c>
      <c r="ED79" s="186">
        <f t="shared" si="244"/>
        <v>1104.940292</v>
      </c>
      <c r="EE79" s="32"/>
    </row>
    <row r="80" spans="1:138">
      <c r="A80" s="128" t="s">
        <v>1063</v>
      </c>
      <c r="B80" s="258"/>
      <c r="C80">
        <v>0</v>
      </c>
      <c r="D80">
        <v>0</v>
      </c>
      <c r="E80">
        <v>0</v>
      </c>
      <c r="F80">
        <v>0</v>
      </c>
      <c r="G80">
        <v>0</v>
      </c>
      <c r="H80">
        <v>0</v>
      </c>
      <c r="I80">
        <v>0</v>
      </c>
      <c r="J80">
        <v>0</v>
      </c>
      <c r="K80">
        <v>0</v>
      </c>
      <c r="L80">
        <v>0</v>
      </c>
      <c r="M80" s="20">
        <v>0</v>
      </c>
      <c r="N80" s="299">
        <v>0</v>
      </c>
      <c r="O80" s="299">
        <v>0</v>
      </c>
      <c r="P80" s="299">
        <v>0</v>
      </c>
      <c r="Q80" s="299">
        <v>0</v>
      </c>
      <c r="R80" s="299">
        <v>0</v>
      </c>
      <c r="S80" s="299">
        <v>0</v>
      </c>
      <c r="T80" s="299">
        <v>0</v>
      </c>
      <c r="U80" s="299">
        <v>0</v>
      </c>
      <c r="V80" s="299">
        <v>0</v>
      </c>
      <c r="W80" s="299">
        <v>0</v>
      </c>
      <c r="X80" s="299">
        <v>0</v>
      </c>
      <c r="Y80" s="299">
        <v>0</v>
      </c>
      <c r="Z80" s="298">
        <v>0</v>
      </c>
      <c r="AA80" s="299">
        <v>0</v>
      </c>
      <c r="AB80" s="299">
        <v>0</v>
      </c>
      <c r="AC80" s="299">
        <v>0</v>
      </c>
      <c r="AD80" s="299">
        <v>0</v>
      </c>
      <c r="AE80" s="299">
        <v>0</v>
      </c>
      <c r="AF80" s="299">
        <v>0</v>
      </c>
      <c r="AG80" s="299">
        <v>0</v>
      </c>
      <c r="AH80" s="299">
        <v>0</v>
      </c>
      <c r="AI80" s="299">
        <v>0</v>
      </c>
      <c r="AJ80" s="299">
        <v>0</v>
      </c>
      <c r="AK80" s="300">
        <v>0</v>
      </c>
      <c r="AL80" s="298">
        <v>0</v>
      </c>
      <c r="AM80" s="299">
        <v>0</v>
      </c>
      <c r="AN80" s="299">
        <v>0</v>
      </c>
      <c r="AO80" s="299">
        <v>0</v>
      </c>
      <c r="AP80" s="299">
        <v>0</v>
      </c>
      <c r="AQ80" s="299">
        <v>1394.578</v>
      </c>
      <c r="AR80" s="299">
        <v>1348.2560000000001</v>
      </c>
      <c r="AS80" s="299">
        <v>0</v>
      </c>
      <c r="AT80" s="299">
        <v>0</v>
      </c>
      <c r="AU80" s="299">
        <v>0</v>
      </c>
      <c r="AV80" s="299">
        <v>0</v>
      </c>
      <c r="AW80" s="299">
        <v>0</v>
      </c>
      <c r="AX80" s="298">
        <v>0</v>
      </c>
      <c r="AY80" s="299">
        <v>200</v>
      </c>
      <c r="AZ80" s="299">
        <v>0</v>
      </c>
      <c r="BA80" s="299">
        <v>0</v>
      </c>
      <c r="BB80" s="299">
        <v>0</v>
      </c>
      <c r="BC80" s="299">
        <v>0</v>
      </c>
      <c r="BD80" s="299">
        <v>0</v>
      </c>
      <c r="BE80" s="299">
        <v>0</v>
      </c>
      <c r="BF80" s="299">
        <v>0</v>
      </c>
      <c r="BG80" s="299">
        <v>0</v>
      </c>
      <c r="BH80" s="299">
        <v>0</v>
      </c>
      <c r="BI80" s="300">
        <v>0</v>
      </c>
      <c r="BJ80" s="299">
        <v>0</v>
      </c>
      <c r="BK80" s="299">
        <v>0</v>
      </c>
      <c r="BL80" s="299">
        <v>0</v>
      </c>
      <c r="BM80" s="299">
        <v>0</v>
      </c>
      <c r="BN80" s="299">
        <v>0</v>
      </c>
      <c r="BO80" s="299">
        <v>0</v>
      </c>
      <c r="BP80" s="299">
        <v>0</v>
      </c>
      <c r="BQ80" s="299">
        <v>0</v>
      </c>
      <c r="BR80" s="299">
        <v>0</v>
      </c>
      <c r="BS80" s="299">
        <v>0</v>
      </c>
      <c r="BT80" s="299">
        <v>0</v>
      </c>
      <c r="BU80" s="300">
        <v>0</v>
      </c>
      <c r="BV80" s="299">
        <v>0</v>
      </c>
      <c r="BW80" s="299">
        <v>0</v>
      </c>
      <c r="BX80" s="299">
        <v>0</v>
      </c>
      <c r="BY80" s="299">
        <v>0</v>
      </c>
      <c r="BZ80" s="299">
        <v>0</v>
      </c>
      <c r="CA80" s="299">
        <v>0</v>
      </c>
      <c r="CB80" s="299">
        <v>790.923</v>
      </c>
      <c r="CC80" s="299">
        <v>0</v>
      </c>
      <c r="CD80" s="299">
        <v>0</v>
      </c>
      <c r="CE80" s="299">
        <v>0</v>
      </c>
      <c r="CF80" s="299">
        <v>27.44</v>
      </c>
      <c r="CG80" s="299">
        <v>0</v>
      </c>
      <c r="CH80" s="20">
        <v>0</v>
      </c>
      <c r="CI80" s="24">
        <v>0</v>
      </c>
      <c r="CJ80" s="24">
        <v>0</v>
      </c>
      <c r="CK80" s="24">
        <v>0</v>
      </c>
      <c r="CL80" s="24">
        <v>0</v>
      </c>
      <c r="CM80" s="24">
        <v>0</v>
      </c>
      <c r="CN80" s="24">
        <v>0</v>
      </c>
      <c r="CO80" s="24">
        <v>0</v>
      </c>
      <c r="CP80" s="24">
        <v>0</v>
      </c>
      <c r="CQ80" s="24">
        <v>0</v>
      </c>
      <c r="CR80" s="24">
        <v>0</v>
      </c>
      <c r="CS80" s="13">
        <v>0</v>
      </c>
      <c r="CT80" s="47">
        <v>0</v>
      </c>
      <c r="CU80" s="95">
        <v>0</v>
      </c>
      <c r="CV80" s="95">
        <v>0</v>
      </c>
      <c r="CW80" s="95">
        <v>0</v>
      </c>
      <c r="CX80" s="95">
        <v>0</v>
      </c>
      <c r="CY80" s="95">
        <v>0</v>
      </c>
      <c r="CZ80" s="95">
        <v>0</v>
      </c>
      <c r="DA80" s="95">
        <v>0</v>
      </c>
      <c r="DB80" s="95">
        <v>0</v>
      </c>
      <c r="DC80" s="95">
        <v>0</v>
      </c>
      <c r="DD80" s="95">
        <v>0</v>
      </c>
      <c r="DE80" s="29">
        <v>0</v>
      </c>
      <c r="DF80" s="47">
        <v>0</v>
      </c>
      <c r="DG80" s="95">
        <v>0</v>
      </c>
      <c r="DH80" s="95">
        <v>0</v>
      </c>
      <c r="DI80" s="95">
        <v>0</v>
      </c>
      <c r="DJ80" s="95">
        <v>0</v>
      </c>
      <c r="DK80" s="95">
        <v>0</v>
      </c>
      <c r="DL80" s="95">
        <v>0</v>
      </c>
      <c r="DM80" s="95">
        <v>0</v>
      </c>
      <c r="DN80" s="95">
        <v>0</v>
      </c>
      <c r="DO80" s="95">
        <v>0</v>
      </c>
      <c r="DP80" s="95">
        <v>0</v>
      </c>
      <c r="DQ80" s="29">
        <v>0</v>
      </c>
      <c r="DR80" s="47">
        <v>0</v>
      </c>
      <c r="DS80" s="95">
        <v>0</v>
      </c>
      <c r="DT80" s="95">
        <v>0</v>
      </c>
      <c r="DU80" s="95">
        <v>0</v>
      </c>
      <c r="DV80" s="95">
        <v>0</v>
      </c>
      <c r="DW80" s="95">
        <v>0</v>
      </c>
      <c r="DX80" s="95">
        <v>0</v>
      </c>
      <c r="DY80" s="95">
        <v>0</v>
      </c>
      <c r="DZ80" s="95">
        <v>0</v>
      </c>
      <c r="EA80" s="95">
        <v>0</v>
      </c>
      <c r="EB80" s="95">
        <v>0</v>
      </c>
      <c r="EC80" s="29">
        <v>0</v>
      </c>
      <c r="ED80" s="300">
        <f t="shared" si="244"/>
        <v>3761.1969999999997</v>
      </c>
      <c r="EE80" s="32"/>
    </row>
    <row r="81" spans="1:183" ht="13.9" customHeight="1">
      <c r="A81" s="245" t="s">
        <v>626</v>
      </c>
      <c r="B81" s="96"/>
      <c r="C81" s="32"/>
      <c r="D81" s="32"/>
      <c r="E81" s="32"/>
      <c r="F81" s="32"/>
      <c r="G81" s="32"/>
      <c r="H81" s="32"/>
      <c r="I81" s="32"/>
      <c r="J81" s="32"/>
      <c r="K81" s="32"/>
      <c r="L81" s="32"/>
      <c r="M81" s="32"/>
      <c r="N81" s="296">
        <f t="shared" ref="N81:BH81" si="245">+N59+N62+N72</f>
        <v>0</v>
      </c>
      <c r="O81" s="296">
        <f t="shared" si="245"/>
        <v>0</v>
      </c>
      <c r="P81" s="296">
        <f t="shared" si="245"/>
        <v>0</v>
      </c>
      <c r="Q81" s="296">
        <f t="shared" si="245"/>
        <v>0</v>
      </c>
      <c r="R81" s="296">
        <f t="shared" si="245"/>
        <v>0</v>
      </c>
      <c r="S81" s="296">
        <f t="shared" si="245"/>
        <v>0</v>
      </c>
      <c r="T81" s="296">
        <f t="shared" si="245"/>
        <v>0</v>
      </c>
      <c r="U81" s="296">
        <f t="shared" si="245"/>
        <v>0</v>
      </c>
      <c r="V81" s="296">
        <f t="shared" si="245"/>
        <v>0</v>
      </c>
      <c r="W81" s="296">
        <f t="shared" si="245"/>
        <v>3023.404</v>
      </c>
      <c r="X81" s="296">
        <f t="shared" si="245"/>
        <v>13675.848700000002</v>
      </c>
      <c r="Y81" s="296">
        <f t="shared" si="245"/>
        <v>38838.460000000006</v>
      </c>
      <c r="Z81" s="295">
        <f t="shared" si="245"/>
        <v>8752.5319999999992</v>
      </c>
      <c r="AA81" s="296">
        <f t="shared" si="245"/>
        <v>14331.094999999999</v>
      </c>
      <c r="AB81" s="296">
        <f t="shared" si="245"/>
        <v>9734.4172500000022</v>
      </c>
      <c r="AC81" s="296">
        <f t="shared" si="245"/>
        <v>566.28700000000003</v>
      </c>
      <c r="AD81" s="296">
        <f t="shared" si="245"/>
        <v>4780.7260000000006</v>
      </c>
      <c r="AE81" s="296">
        <f t="shared" si="245"/>
        <v>12009.148845739999</v>
      </c>
      <c r="AF81" s="296">
        <f t="shared" si="245"/>
        <v>17469.349249999999</v>
      </c>
      <c r="AG81" s="296">
        <f t="shared" si="245"/>
        <v>963.14400000000001</v>
      </c>
      <c r="AH81" s="296">
        <f t="shared" si="245"/>
        <v>4814.7825949999997</v>
      </c>
      <c r="AI81" s="296">
        <f t="shared" si="245"/>
        <v>13614.493356499999</v>
      </c>
      <c r="AJ81" s="296">
        <f t="shared" si="245"/>
        <v>5798.4120089999997</v>
      </c>
      <c r="AK81" s="297">
        <f t="shared" si="245"/>
        <v>9907.67</v>
      </c>
      <c r="AL81" s="295">
        <f t="shared" si="245"/>
        <v>28807.368599999998</v>
      </c>
      <c r="AM81" s="296">
        <f t="shared" si="245"/>
        <v>22367.21</v>
      </c>
      <c r="AN81" s="296">
        <f t="shared" si="245"/>
        <v>33232.539300000004</v>
      </c>
      <c r="AO81" s="296">
        <f t="shared" si="245"/>
        <v>5508.76</v>
      </c>
      <c r="AP81" s="296">
        <f t="shared" si="245"/>
        <v>9542.7531599999984</v>
      </c>
      <c r="AQ81" s="296">
        <f t="shared" si="245"/>
        <v>10794.923000000001</v>
      </c>
      <c r="AR81" s="296">
        <f t="shared" si="245"/>
        <v>10137.925999999999</v>
      </c>
      <c r="AS81" s="296">
        <f t="shared" si="245"/>
        <v>13980.348999999998</v>
      </c>
      <c r="AT81" s="296">
        <f t="shared" si="245"/>
        <v>15211.938590000002</v>
      </c>
      <c r="AU81" s="296">
        <f t="shared" si="245"/>
        <v>1159.0430000000001</v>
      </c>
      <c r="AV81" s="296">
        <f t="shared" si="245"/>
        <v>2908.5079999999998</v>
      </c>
      <c r="AW81" s="296">
        <f t="shared" si="245"/>
        <v>2649.1000000000004</v>
      </c>
      <c r="AX81" s="295">
        <f t="shared" si="245"/>
        <v>0</v>
      </c>
      <c r="AY81" s="296">
        <f t="shared" si="245"/>
        <v>1419.0810000000001</v>
      </c>
      <c r="AZ81" s="296">
        <f t="shared" si="245"/>
        <v>1093.9725000000001</v>
      </c>
      <c r="BA81" s="296">
        <f t="shared" si="245"/>
        <v>1928.2652989999999</v>
      </c>
      <c r="BB81" s="296">
        <f t="shared" si="245"/>
        <v>3552.4520000000002</v>
      </c>
      <c r="BC81" s="296">
        <f t="shared" si="245"/>
        <v>4465.43</v>
      </c>
      <c r="BD81" s="296">
        <f t="shared" si="245"/>
        <v>9482.8845299999994</v>
      </c>
      <c r="BE81" s="296">
        <f t="shared" si="245"/>
        <v>11546.084999999999</v>
      </c>
      <c r="BF81" s="296">
        <f t="shared" si="245"/>
        <v>6692.68</v>
      </c>
      <c r="BG81" s="296">
        <f t="shared" si="245"/>
        <v>5140.4257039999993</v>
      </c>
      <c r="BH81" s="296">
        <f t="shared" si="245"/>
        <v>9786.8737500000007</v>
      </c>
      <c r="BI81" s="297">
        <f t="shared" ref="BI81:BU81" si="246">+BI59+BI62+BI72</f>
        <v>5117.8519999999999</v>
      </c>
      <c r="BJ81" s="296">
        <f t="shared" si="246"/>
        <v>7253.6179999999995</v>
      </c>
      <c r="BK81" s="296">
        <f t="shared" si="246"/>
        <v>5968.9694420000005</v>
      </c>
      <c r="BL81" s="296">
        <f t="shared" si="246"/>
        <v>702.97</v>
      </c>
      <c r="BM81" s="296">
        <f t="shared" si="246"/>
        <v>4541.4629999999997</v>
      </c>
      <c r="BN81" s="296">
        <f t="shared" si="246"/>
        <v>7536.6029999999992</v>
      </c>
      <c r="BO81" s="296">
        <f t="shared" si="246"/>
        <v>15651.587600000003</v>
      </c>
      <c r="BP81" s="296">
        <f t="shared" si="246"/>
        <v>3835.6870000000004</v>
      </c>
      <c r="BQ81" s="296">
        <f t="shared" si="246"/>
        <v>10064.816999999999</v>
      </c>
      <c r="BR81" s="296">
        <f t="shared" si="246"/>
        <v>4774.68</v>
      </c>
      <c r="BS81" s="296">
        <f t="shared" si="246"/>
        <v>3463.5367110000002</v>
      </c>
      <c r="BT81" s="296">
        <f t="shared" si="246"/>
        <v>5032.1969999999992</v>
      </c>
      <c r="BU81" s="297">
        <f t="shared" si="246"/>
        <v>10479.839</v>
      </c>
      <c r="BV81" s="296">
        <f t="shared" ref="BV81:CS81" si="247">+BV59+BV62+BV72</f>
        <v>2903.174</v>
      </c>
      <c r="BW81" s="296">
        <f t="shared" si="247"/>
        <v>2957.8201999999997</v>
      </c>
      <c r="BX81" s="296">
        <f t="shared" si="247"/>
        <v>16797.910999999996</v>
      </c>
      <c r="BY81" s="296">
        <f t="shared" si="247"/>
        <v>4942.4969999999994</v>
      </c>
      <c r="BZ81" s="296">
        <f t="shared" si="247"/>
        <v>16005.5905</v>
      </c>
      <c r="CA81" s="296">
        <f t="shared" si="247"/>
        <v>2773.9974390000002</v>
      </c>
      <c r="CB81" s="296">
        <f t="shared" si="247"/>
        <v>17420.646999999997</v>
      </c>
      <c r="CC81" s="296">
        <f t="shared" si="247"/>
        <v>12844.786</v>
      </c>
      <c r="CD81" s="296">
        <f t="shared" si="247"/>
        <v>20153.513000000003</v>
      </c>
      <c r="CE81" s="296">
        <f t="shared" si="247"/>
        <v>34738.841590000004</v>
      </c>
      <c r="CF81" s="296">
        <f t="shared" si="247"/>
        <v>18743.484499999999</v>
      </c>
      <c r="CG81" s="296">
        <f t="shared" si="247"/>
        <v>35412.10514900001</v>
      </c>
      <c r="CH81" s="182">
        <f t="shared" si="247"/>
        <v>19429.909</v>
      </c>
      <c r="CI81" s="253">
        <f t="shared" si="247"/>
        <v>949.75018899999998</v>
      </c>
      <c r="CJ81" s="253">
        <f t="shared" si="247"/>
        <v>57681.762067999996</v>
      </c>
      <c r="CK81" s="253">
        <f t="shared" si="247"/>
        <v>8198.1049999999996</v>
      </c>
      <c r="CL81" s="253">
        <f t="shared" si="247"/>
        <v>10955.0065</v>
      </c>
      <c r="CM81" s="253">
        <f t="shared" si="247"/>
        <v>7734.076</v>
      </c>
      <c r="CN81" s="253">
        <f t="shared" si="247"/>
        <v>110023.408</v>
      </c>
      <c r="CO81" s="253">
        <f t="shared" si="247"/>
        <v>41524.055</v>
      </c>
      <c r="CP81" s="253">
        <f t="shared" si="247"/>
        <v>13645.357</v>
      </c>
      <c r="CQ81" s="253">
        <f t="shared" si="247"/>
        <v>107758.52739999999</v>
      </c>
      <c r="CR81" s="253">
        <f t="shared" si="247"/>
        <v>94922.588999999993</v>
      </c>
      <c r="CS81" s="256">
        <f t="shared" si="247"/>
        <v>227459.63000000003</v>
      </c>
      <c r="CT81" s="159">
        <f t="shared" ref="CT81:DE81" si="248">+CT59+CT62+CT72</f>
        <v>9405.232</v>
      </c>
      <c r="CU81" s="160">
        <f t="shared" si="248"/>
        <v>259.09800000000001</v>
      </c>
      <c r="CV81" s="160">
        <f t="shared" si="248"/>
        <v>0</v>
      </c>
      <c r="CW81" s="160">
        <f t="shared" si="248"/>
        <v>7840.1760000000004</v>
      </c>
      <c r="CX81" s="160">
        <f t="shared" si="248"/>
        <v>0</v>
      </c>
      <c r="CY81" s="160">
        <f t="shared" si="248"/>
        <v>0</v>
      </c>
      <c r="CZ81" s="160">
        <f t="shared" si="248"/>
        <v>0</v>
      </c>
      <c r="DA81" s="160">
        <f t="shared" si="248"/>
        <v>3093.6210000000001</v>
      </c>
      <c r="DB81" s="160">
        <f t="shared" si="248"/>
        <v>0</v>
      </c>
      <c r="DC81" s="160">
        <f t="shared" si="248"/>
        <v>260.41000000000003</v>
      </c>
      <c r="DD81" s="160">
        <f t="shared" si="248"/>
        <v>0</v>
      </c>
      <c r="DE81" s="236">
        <f t="shared" si="248"/>
        <v>3977.1149999999998</v>
      </c>
      <c r="DF81" s="159">
        <f t="shared" ref="DF81:DQ81" si="249">+DF59+DF62+DF72</f>
        <v>0</v>
      </c>
      <c r="DG81" s="160">
        <f t="shared" si="249"/>
        <v>0</v>
      </c>
      <c r="DH81" s="160">
        <f t="shared" si="249"/>
        <v>0</v>
      </c>
      <c r="DI81" s="160">
        <f t="shared" si="249"/>
        <v>0</v>
      </c>
      <c r="DJ81" s="160">
        <f t="shared" si="249"/>
        <v>0</v>
      </c>
      <c r="DK81" s="160">
        <f t="shared" si="249"/>
        <v>0</v>
      </c>
      <c r="DL81" s="160">
        <f t="shared" si="249"/>
        <v>0</v>
      </c>
      <c r="DM81" s="160">
        <f t="shared" si="249"/>
        <v>0</v>
      </c>
      <c r="DN81" s="160">
        <f t="shared" si="249"/>
        <v>0</v>
      </c>
      <c r="DO81" s="160">
        <f t="shared" si="249"/>
        <v>0</v>
      </c>
      <c r="DP81" s="160">
        <f t="shared" si="249"/>
        <v>0</v>
      </c>
      <c r="DQ81" s="236">
        <f t="shared" si="249"/>
        <v>0</v>
      </c>
      <c r="DR81" s="159">
        <f t="shared" ref="DR81:EC81" si="250">+DR59+DR62+DR72</f>
        <v>0</v>
      </c>
      <c r="DS81" s="160">
        <f t="shared" si="250"/>
        <v>0</v>
      </c>
      <c r="DT81" s="160">
        <f t="shared" si="250"/>
        <v>0</v>
      </c>
      <c r="DU81" s="160">
        <f t="shared" si="250"/>
        <v>0</v>
      </c>
      <c r="DV81" s="160">
        <f t="shared" si="250"/>
        <v>0</v>
      </c>
      <c r="DW81" s="160">
        <f t="shared" si="250"/>
        <v>0</v>
      </c>
      <c r="DX81" s="160">
        <f t="shared" si="250"/>
        <v>0</v>
      </c>
      <c r="DY81" s="160">
        <f t="shared" si="250"/>
        <v>0</v>
      </c>
      <c r="DZ81" s="160">
        <f t="shared" si="250"/>
        <v>0</v>
      </c>
      <c r="EA81" s="160">
        <f t="shared" si="250"/>
        <v>0</v>
      </c>
      <c r="EB81" s="160">
        <f t="shared" si="250"/>
        <v>0</v>
      </c>
      <c r="EC81" s="236">
        <f t="shared" si="250"/>
        <v>0</v>
      </c>
      <c r="ED81" s="799">
        <f>+ED59+ED62+ED72</f>
        <v>1364924.35272724</v>
      </c>
    </row>
    <row r="82" spans="1:183">
      <c r="A82" s="245" t="s">
        <v>1597</v>
      </c>
      <c r="B82" s="35" t="s">
        <v>1596</v>
      </c>
      <c r="C82" s="22"/>
      <c r="D82" s="22"/>
      <c r="E82" s="22"/>
      <c r="F82" s="22"/>
      <c r="G82" s="22"/>
      <c r="H82" s="22"/>
      <c r="I82" s="22"/>
      <c r="J82" s="22"/>
      <c r="K82" s="22"/>
      <c r="L82" s="22"/>
      <c r="M82" s="22"/>
      <c r="N82" s="110">
        <f t="shared" ref="N82:BH82" si="251">N81/5</f>
        <v>0</v>
      </c>
      <c r="O82" s="110">
        <f t="shared" si="251"/>
        <v>0</v>
      </c>
      <c r="P82" s="110">
        <f t="shared" si="251"/>
        <v>0</v>
      </c>
      <c r="Q82" s="110">
        <f t="shared" si="251"/>
        <v>0</v>
      </c>
      <c r="R82" s="110">
        <f t="shared" si="251"/>
        <v>0</v>
      </c>
      <c r="S82" s="110">
        <f t="shared" si="251"/>
        <v>0</v>
      </c>
      <c r="T82" s="110">
        <f t="shared" si="251"/>
        <v>0</v>
      </c>
      <c r="U82" s="110">
        <f t="shared" si="251"/>
        <v>0</v>
      </c>
      <c r="V82" s="110">
        <f t="shared" si="251"/>
        <v>0</v>
      </c>
      <c r="W82" s="110">
        <f t="shared" si="251"/>
        <v>604.68079999999998</v>
      </c>
      <c r="X82" s="110">
        <f t="shared" si="251"/>
        <v>2735.1697400000003</v>
      </c>
      <c r="Y82" s="110">
        <f t="shared" si="251"/>
        <v>7767.6920000000009</v>
      </c>
      <c r="Z82" s="109">
        <f t="shared" si="251"/>
        <v>1750.5063999999998</v>
      </c>
      <c r="AA82" s="110">
        <f t="shared" si="251"/>
        <v>2866.2190000000001</v>
      </c>
      <c r="AB82" s="110">
        <f t="shared" si="251"/>
        <v>1946.8834500000005</v>
      </c>
      <c r="AC82" s="110">
        <f t="shared" si="251"/>
        <v>113.2574</v>
      </c>
      <c r="AD82" s="110">
        <f t="shared" si="251"/>
        <v>956.14520000000016</v>
      </c>
      <c r="AE82" s="110">
        <f t="shared" si="251"/>
        <v>2401.8297691479997</v>
      </c>
      <c r="AF82" s="110">
        <f t="shared" si="251"/>
        <v>3493.86985</v>
      </c>
      <c r="AG82" s="110">
        <f t="shared" si="251"/>
        <v>192.62880000000001</v>
      </c>
      <c r="AH82" s="110">
        <f t="shared" si="251"/>
        <v>962.95651899999996</v>
      </c>
      <c r="AI82" s="110">
        <f t="shared" si="251"/>
        <v>2722.8986712999999</v>
      </c>
      <c r="AJ82" s="110">
        <f t="shared" si="251"/>
        <v>1159.6824018</v>
      </c>
      <c r="AK82" s="111">
        <f t="shared" si="251"/>
        <v>1981.5340000000001</v>
      </c>
      <c r="AL82" s="109">
        <f t="shared" si="251"/>
        <v>5761.47372</v>
      </c>
      <c r="AM82" s="110">
        <f t="shared" si="251"/>
        <v>4473.442</v>
      </c>
      <c r="AN82" s="110">
        <f t="shared" si="251"/>
        <v>6646.5078600000006</v>
      </c>
      <c r="AO82" s="110">
        <f t="shared" si="251"/>
        <v>1101.752</v>
      </c>
      <c r="AP82" s="110">
        <f t="shared" si="251"/>
        <v>1908.5506319999997</v>
      </c>
      <c r="AQ82" s="110">
        <f t="shared" si="251"/>
        <v>2158.9846000000002</v>
      </c>
      <c r="AR82" s="110">
        <f t="shared" si="251"/>
        <v>2027.5852</v>
      </c>
      <c r="AS82" s="110">
        <f t="shared" si="251"/>
        <v>2796.0697999999998</v>
      </c>
      <c r="AT82" s="110">
        <f t="shared" si="251"/>
        <v>3042.3877180000004</v>
      </c>
      <c r="AU82" s="110">
        <f t="shared" si="251"/>
        <v>231.80860000000001</v>
      </c>
      <c r="AV82" s="110">
        <f t="shared" si="251"/>
        <v>581.70159999999998</v>
      </c>
      <c r="AW82" s="110">
        <f t="shared" si="251"/>
        <v>529.82000000000005</v>
      </c>
      <c r="AX82" s="109">
        <f t="shared" si="251"/>
        <v>0</v>
      </c>
      <c r="AY82" s="110">
        <f t="shared" si="251"/>
        <v>283.81620000000004</v>
      </c>
      <c r="AZ82" s="110">
        <f t="shared" si="251"/>
        <v>218.79450000000003</v>
      </c>
      <c r="BA82" s="110">
        <f t="shared" si="251"/>
        <v>385.65305979999999</v>
      </c>
      <c r="BB82" s="110">
        <f t="shared" si="251"/>
        <v>710.49040000000002</v>
      </c>
      <c r="BC82" s="110">
        <f t="shared" si="251"/>
        <v>893.08600000000001</v>
      </c>
      <c r="BD82" s="110">
        <f t="shared" si="251"/>
        <v>1896.5769059999998</v>
      </c>
      <c r="BE82" s="110">
        <f t="shared" si="251"/>
        <v>2309.2169999999996</v>
      </c>
      <c r="BF82" s="110">
        <f t="shared" si="251"/>
        <v>1338.5360000000001</v>
      </c>
      <c r="BG82" s="110">
        <f t="shared" si="251"/>
        <v>1028.0851407999999</v>
      </c>
      <c r="BH82" s="110">
        <f t="shared" si="251"/>
        <v>1957.3747500000002</v>
      </c>
      <c r="BI82" s="111">
        <f t="shared" ref="BI82:BU82" si="252">BI81/5</f>
        <v>1023.5703999999999</v>
      </c>
      <c r="BJ82" s="110">
        <f t="shared" si="252"/>
        <v>1450.7235999999998</v>
      </c>
      <c r="BK82" s="110">
        <f t="shared" si="252"/>
        <v>1193.7938884</v>
      </c>
      <c r="BL82" s="110">
        <f t="shared" si="252"/>
        <v>140.59399999999999</v>
      </c>
      <c r="BM82" s="110">
        <f t="shared" si="252"/>
        <v>908.29259999999999</v>
      </c>
      <c r="BN82" s="110">
        <f t="shared" si="252"/>
        <v>1507.3205999999998</v>
      </c>
      <c r="BO82" s="110">
        <f t="shared" si="252"/>
        <v>3130.3175200000005</v>
      </c>
      <c r="BP82" s="110">
        <f t="shared" si="252"/>
        <v>767.13740000000007</v>
      </c>
      <c r="BQ82" s="110">
        <f t="shared" si="252"/>
        <v>2012.9633999999999</v>
      </c>
      <c r="BR82" s="110">
        <f t="shared" si="252"/>
        <v>954.93600000000004</v>
      </c>
      <c r="BS82" s="110">
        <f t="shared" si="252"/>
        <v>692.70734220000008</v>
      </c>
      <c r="BT82" s="110">
        <f t="shared" si="252"/>
        <v>1006.4393999999999</v>
      </c>
      <c r="BU82" s="111">
        <f t="shared" si="252"/>
        <v>2095.9677999999999</v>
      </c>
      <c r="BV82" s="110">
        <f t="shared" ref="BV82:CS82" si="253">BV81/5</f>
        <v>580.63480000000004</v>
      </c>
      <c r="BW82" s="110">
        <f t="shared" si="253"/>
        <v>591.56403999999998</v>
      </c>
      <c r="BX82" s="110">
        <f t="shared" si="253"/>
        <v>3359.5821999999994</v>
      </c>
      <c r="BY82" s="110">
        <f t="shared" si="253"/>
        <v>988.49939999999992</v>
      </c>
      <c r="BZ82" s="110">
        <f t="shared" si="253"/>
        <v>3201.1181000000001</v>
      </c>
      <c r="CA82" s="110">
        <f t="shared" si="253"/>
        <v>554.79948780000007</v>
      </c>
      <c r="CB82" s="110">
        <f t="shared" si="253"/>
        <v>3484.1293999999994</v>
      </c>
      <c r="CC82" s="110">
        <f t="shared" si="253"/>
        <v>2568.9571999999998</v>
      </c>
      <c r="CD82" s="110">
        <f t="shared" si="253"/>
        <v>4030.7026000000005</v>
      </c>
      <c r="CE82" s="110">
        <f t="shared" si="253"/>
        <v>6947.7683180000004</v>
      </c>
      <c r="CF82" s="110">
        <f t="shared" si="253"/>
        <v>3748.6968999999999</v>
      </c>
      <c r="CG82" s="110">
        <f t="shared" si="253"/>
        <v>7082.4210298000016</v>
      </c>
      <c r="CH82" s="109">
        <f t="shared" si="253"/>
        <v>3885.9818</v>
      </c>
      <c r="CI82" s="110">
        <f t="shared" si="253"/>
        <v>189.95003779999999</v>
      </c>
      <c r="CJ82" s="110">
        <f t="shared" si="253"/>
        <v>11536.3524136</v>
      </c>
      <c r="CK82" s="110">
        <f t="shared" si="253"/>
        <v>1639.6209999999999</v>
      </c>
      <c r="CL82" s="110">
        <f t="shared" si="253"/>
        <v>2191.0012999999999</v>
      </c>
      <c r="CM82" s="110">
        <f t="shared" si="253"/>
        <v>1546.8152</v>
      </c>
      <c r="CN82" s="110">
        <f t="shared" si="253"/>
        <v>22004.6816</v>
      </c>
      <c r="CO82" s="110">
        <f t="shared" si="253"/>
        <v>8304.8109999999997</v>
      </c>
      <c r="CP82" s="110">
        <f t="shared" si="253"/>
        <v>2729.0713999999998</v>
      </c>
      <c r="CQ82" s="110">
        <f t="shared" si="253"/>
        <v>21551.705479999997</v>
      </c>
      <c r="CR82" s="110">
        <f t="shared" si="253"/>
        <v>18984.517799999998</v>
      </c>
      <c r="CS82" s="111">
        <f t="shared" si="253"/>
        <v>45491.926000000007</v>
      </c>
      <c r="CT82" s="109">
        <f t="shared" ref="CT82:DE82" si="254">CT81/5</f>
        <v>1881.0463999999999</v>
      </c>
      <c r="CU82" s="110">
        <f t="shared" si="254"/>
        <v>51.819600000000001</v>
      </c>
      <c r="CV82" s="110">
        <f t="shared" si="254"/>
        <v>0</v>
      </c>
      <c r="CW82" s="110">
        <f t="shared" si="254"/>
        <v>1568.0352</v>
      </c>
      <c r="CX82" s="110">
        <f t="shared" si="254"/>
        <v>0</v>
      </c>
      <c r="CY82" s="110">
        <f t="shared" si="254"/>
        <v>0</v>
      </c>
      <c r="CZ82" s="110">
        <f t="shared" si="254"/>
        <v>0</v>
      </c>
      <c r="DA82" s="110">
        <f t="shared" si="254"/>
        <v>618.7242</v>
      </c>
      <c r="DB82" s="110">
        <f t="shared" si="254"/>
        <v>0</v>
      </c>
      <c r="DC82" s="110">
        <f t="shared" si="254"/>
        <v>52.082000000000008</v>
      </c>
      <c r="DD82" s="110">
        <f t="shared" si="254"/>
        <v>0</v>
      </c>
      <c r="DE82" s="111">
        <f t="shared" si="254"/>
        <v>795.423</v>
      </c>
      <c r="DF82" s="109">
        <f t="shared" ref="DF82:DQ82" si="255">DF81/5</f>
        <v>0</v>
      </c>
      <c r="DG82" s="110">
        <f t="shared" si="255"/>
        <v>0</v>
      </c>
      <c r="DH82" s="110">
        <f t="shared" si="255"/>
        <v>0</v>
      </c>
      <c r="DI82" s="110">
        <f t="shared" si="255"/>
        <v>0</v>
      </c>
      <c r="DJ82" s="110">
        <f t="shared" si="255"/>
        <v>0</v>
      </c>
      <c r="DK82" s="110">
        <f t="shared" si="255"/>
        <v>0</v>
      </c>
      <c r="DL82" s="110">
        <f t="shared" si="255"/>
        <v>0</v>
      </c>
      <c r="DM82" s="110">
        <f t="shared" si="255"/>
        <v>0</v>
      </c>
      <c r="DN82" s="110">
        <f t="shared" si="255"/>
        <v>0</v>
      </c>
      <c r="DO82" s="110">
        <f t="shared" si="255"/>
        <v>0</v>
      </c>
      <c r="DP82" s="110">
        <f t="shared" si="255"/>
        <v>0</v>
      </c>
      <c r="DQ82" s="111">
        <f t="shared" si="255"/>
        <v>0</v>
      </c>
      <c r="DR82" s="109">
        <f t="shared" ref="DR82:EC82" si="256">DR81/5</f>
        <v>0</v>
      </c>
      <c r="DS82" s="110">
        <f t="shared" si="256"/>
        <v>0</v>
      </c>
      <c r="DT82" s="110">
        <f t="shared" si="256"/>
        <v>0</v>
      </c>
      <c r="DU82" s="110">
        <f t="shared" si="256"/>
        <v>0</v>
      </c>
      <c r="DV82" s="110">
        <f t="shared" si="256"/>
        <v>0</v>
      </c>
      <c r="DW82" s="110">
        <f t="shared" si="256"/>
        <v>0</v>
      </c>
      <c r="DX82" s="110">
        <f t="shared" si="256"/>
        <v>0</v>
      </c>
      <c r="DY82" s="110">
        <f t="shared" si="256"/>
        <v>0</v>
      </c>
      <c r="DZ82" s="110">
        <f t="shared" si="256"/>
        <v>0</v>
      </c>
      <c r="EA82" s="110">
        <f t="shared" si="256"/>
        <v>0</v>
      </c>
      <c r="EB82" s="110">
        <f t="shared" si="256"/>
        <v>0</v>
      </c>
      <c r="EC82" s="111">
        <f t="shared" si="256"/>
        <v>0</v>
      </c>
      <c r="ED82" s="111">
        <f>ED81/5</f>
        <v>272984.87054544798</v>
      </c>
      <c r="EF82" s="123"/>
      <c r="EG82" s="123"/>
      <c r="EH82" s="123"/>
      <c r="EI82" s="123"/>
      <c r="EJ82" s="123"/>
      <c r="EK82" s="123"/>
      <c r="EL82" s="123"/>
      <c r="EM82" s="123"/>
    </row>
    <row r="83" spans="1:183">
      <c r="A83" s="259"/>
      <c r="B83" s="97"/>
      <c r="C83" s="22"/>
      <c r="D83" s="22"/>
      <c r="E83" s="22"/>
      <c r="F83" s="22"/>
      <c r="G83" s="22"/>
      <c r="H83" s="22"/>
      <c r="I83" s="22"/>
      <c r="J83" s="22"/>
      <c r="K83" s="22"/>
      <c r="L83" s="22"/>
      <c r="M83" s="22"/>
      <c r="N83" s="123"/>
      <c r="O83" s="123"/>
      <c r="P83" s="123"/>
      <c r="Q83" s="123"/>
      <c r="R83" s="123"/>
      <c r="S83" s="123"/>
      <c r="T83" s="123"/>
      <c r="U83" s="123"/>
      <c r="V83" s="123"/>
      <c r="W83" s="123"/>
      <c r="X83" s="123"/>
      <c r="Y83" s="123"/>
      <c r="Z83" s="123"/>
      <c r="AA83" s="123"/>
      <c r="AB83" s="123"/>
      <c r="AC83" s="123"/>
      <c r="AD83" s="123"/>
      <c r="AE83" s="123"/>
      <c r="AF83" s="123"/>
      <c r="AG83" s="123"/>
      <c r="AH83" s="123"/>
      <c r="AI83" s="123"/>
      <c r="AJ83" s="123"/>
      <c r="AK83" s="123"/>
      <c r="AL83" s="123"/>
      <c r="AM83" s="123"/>
      <c r="AN83" s="123"/>
      <c r="AO83" s="123"/>
      <c r="AP83" s="123"/>
      <c r="AQ83" s="123"/>
      <c r="AR83" s="123"/>
      <c r="AS83" s="123"/>
      <c r="AT83" s="123"/>
      <c r="AU83" s="123"/>
      <c r="AV83" s="123"/>
      <c r="AW83" s="123"/>
      <c r="AX83" s="123"/>
      <c r="AY83" s="123"/>
      <c r="AZ83" s="123"/>
      <c r="BA83" s="123"/>
      <c r="BB83" s="123"/>
      <c r="BC83" s="123"/>
      <c r="BD83" s="123"/>
      <c r="EE83" s="123"/>
      <c r="EF83" s="123"/>
      <c r="EG83" s="123"/>
      <c r="EH83" s="123"/>
      <c r="EI83" s="123"/>
      <c r="EJ83" s="123"/>
      <c r="EK83" s="123"/>
      <c r="EL83" s="123"/>
      <c r="EM83" s="123"/>
      <c r="EN83" s="123"/>
    </row>
    <row r="84" spans="1:183">
      <c r="A84" s="259"/>
      <c r="B84" s="97"/>
      <c r="C84" s="22"/>
      <c r="D84" s="22"/>
      <c r="E84" s="22"/>
      <c r="F84" s="22"/>
      <c r="G84" s="22"/>
      <c r="H84" s="22"/>
      <c r="I84" s="22"/>
      <c r="J84" s="22"/>
      <c r="K84" s="22"/>
      <c r="L84" s="22"/>
      <c r="M84" s="22"/>
      <c r="N84" s="123"/>
      <c r="O84" s="123"/>
      <c r="P84" s="123"/>
      <c r="Q84" s="123"/>
      <c r="R84" s="123"/>
      <c r="S84" s="123"/>
      <c r="T84" s="123"/>
      <c r="U84" s="123"/>
      <c r="V84" s="123"/>
      <c r="W84" s="123"/>
      <c r="X84" s="123"/>
      <c r="Y84" s="123"/>
      <c r="Z84" s="123"/>
      <c r="AA84" s="123"/>
      <c r="AB84" s="123"/>
      <c r="AC84" s="123"/>
      <c r="AD84" s="123"/>
      <c r="AE84" s="123"/>
      <c r="AF84" s="123"/>
      <c r="AG84" s="123"/>
      <c r="AH84" s="123"/>
      <c r="AI84" s="123"/>
      <c r="AJ84" s="123"/>
      <c r="AK84" s="123"/>
      <c r="AL84" s="123"/>
      <c r="AM84" s="123"/>
      <c r="AN84" s="123"/>
      <c r="AO84" s="123"/>
      <c r="AP84" s="123"/>
      <c r="AQ84" s="123"/>
      <c r="AR84" s="123"/>
      <c r="AS84" s="123"/>
      <c r="AT84" s="123"/>
      <c r="AU84" s="123"/>
      <c r="AV84" s="123"/>
      <c r="AW84" s="123"/>
      <c r="AX84" s="123"/>
      <c r="AY84" s="123"/>
      <c r="AZ84" s="123"/>
      <c r="BA84" s="123"/>
      <c r="BB84" s="123"/>
      <c r="BC84" s="123"/>
      <c r="BD84" s="123"/>
      <c r="BT84" s="199"/>
      <c r="BU84" s="123"/>
      <c r="BV84" s="123"/>
      <c r="BW84" s="123"/>
      <c r="BX84" s="123"/>
      <c r="BY84" s="123"/>
      <c r="BZ84" s="123"/>
      <c r="CA84" s="123"/>
      <c r="CB84" s="123"/>
      <c r="CC84" s="123"/>
      <c r="CD84" s="123"/>
      <c r="CE84" s="123"/>
      <c r="CF84" s="123"/>
      <c r="CG84" s="123"/>
      <c r="CH84" s="123"/>
      <c r="CI84" s="123"/>
      <c r="CJ84" s="123"/>
      <c r="CK84" s="123"/>
      <c r="CL84" s="123"/>
      <c r="CM84" s="123"/>
      <c r="CN84" s="123"/>
      <c r="CO84" s="123"/>
      <c r="CP84" s="123"/>
      <c r="CQ84" s="123"/>
      <c r="CR84" s="123"/>
      <c r="CS84" s="123"/>
      <c r="CT84" s="123"/>
      <c r="CU84" s="123"/>
      <c r="CV84" s="123"/>
      <c r="CW84" s="123"/>
      <c r="CX84" s="123"/>
      <c r="CY84" s="123"/>
      <c r="CZ84" s="123"/>
      <c r="DA84" s="123"/>
      <c r="DB84" s="123"/>
      <c r="DC84" s="123"/>
      <c r="DD84" s="123"/>
      <c r="DE84" s="123"/>
      <c r="DF84" s="123"/>
      <c r="DG84" s="123"/>
      <c r="DH84" s="123"/>
      <c r="DI84" s="123"/>
      <c r="DJ84" s="123"/>
      <c r="DK84" s="123"/>
      <c r="DL84" s="123"/>
      <c r="DM84" s="123"/>
      <c r="DN84" s="123"/>
      <c r="DO84" s="123"/>
      <c r="DP84" s="123"/>
      <c r="DQ84" s="123"/>
      <c r="DR84" s="123"/>
      <c r="DS84" s="123"/>
      <c r="DT84" s="123"/>
      <c r="DU84" s="123"/>
      <c r="DV84" s="123"/>
      <c r="DW84" s="123"/>
      <c r="DX84" s="123"/>
      <c r="DY84" s="123"/>
      <c r="DZ84" s="123"/>
      <c r="EA84" s="123"/>
      <c r="EB84" s="123"/>
      <c r="EC84" s="123"/>
      <c r="ED84" s="123"/>
      <c r="EG84" s="123"/>
      <c r="EH84" s="123"/>
      <c r="EI84" s="123"/>
      <c r="EJ84" s="123"/>
      <c r="EK84" s="123"/>
      <c r="EL84" s="123"/>
      <c r="EM84" s="123"/>
      <c r="EN84" s="123"/>
    </row>
    <row r="85" spans="1:183">
      <c r="A85" s="259"/>
      <c r="B85" s="97"/>
      <c r="C85" s="22"/>
      <c r="D85" s="22"/>
      <c r="E85" s="22"/>
      <c r="F85" s="22"/>
      <c r="G85" s="22"/>
      <c r="H85" s="22"/>
      <c r="I85" s="22"/>
      <c r="J85" s="22"/>
      <c r="K85" s="22"/>
      <c r="L85" s="22"/>
      <c r="M85" s="22"/>
      <c r="N85" s="123"/>
      <c r="O85" s="123"/>
      <c r="P85" s="123"/>
      <c r="Q85" s="123"/>
      <c r="R85" s="123"/>
      <c r="S85" s="123"/>
      <c r="T85" s="123"/>
      <c r="U85" s="123"/>
      <c r="V85" s="123"/>
      <c r="W85" s="123"/>
      <c r="X85" s="123"/>
      <c r="Y85" s="123"/>
      <c r="Z85" s="123"/>
      <c r="AA85" s="123"/>
      <c r="AB85" s="123"/>
      <c r="AC85" s="123"/>
      <c r="AD85" s="123"/>
      <c r="AE85" s="123"/>
      <c r="AF85" s="123"/>
      <c r="AG85" s="123"/>
      <c r="AH85" s="123"/>
      <c r="AI85" s="123"/>
      <c r="AJ85" s="123"/>
      <c r="AK85" s="123"/>
      <c r="AL85" s="123"/>
      <c r="AM85" s="123"/>
      <c r="AN85" s="123"/>
      <c r="AO85" s="123"/>
      <c r="AP85" s="123"/>
      <c r="AQ85" s="123"/>
      <c r="AR85" s="123"/>
      <c r="AS85" s="123"/>
      <c r="AT85" s="123"/>
      <c r="AU85" s="123"/>
      <c r="AV85" s="123"/>
      <c r="AW85" s="123"/>
      <c r="AX85" s="123"/>
      <c r="AY85" s="123"/>
      <c r="AZ85" s="123"/>
      <c r="BA85" s="123"/>
      <c r="BB85" s="123"/>
      <c r="BC85" s="123"/>
      <c r="BD85" s="123"/>
      <c r="CB85" s="145"/>
      <c r="EG85" s="123"/>
      <c r="EH85" s="123"/>
      <c r="EI85" s="123"/>
      <c r="EJ85" s="123"/>
      <c r="EK85" s="123"/>
      <c r="EL85" s="123"/>
      <c r="EM85" s="123"/>
      <c r="EN85" s="123"/>
    </row>
    <row r="86" spans="1:183">
      <c r="A86" s="259"/>
      <c r="B86" s="97"/>
      <c r="C86" s="22"/>
      <c r="D86" s="22"/>
      <c r="E86" s="22"/>
      <c r="F86" s="22"/>
      <c r="G86" s="22"/>
      <c r="H86" s="22"/>
      <c r="I86" s="22"/>
      <c r="J86" s="22"/>
      <c r="K86" s="22"/>
      <c r="L86" s="22"/>
      <c r="M86" s="22"/>
      <c r="N86" s="123"/>
      <c r="O86" s="123"/>
      <c r="P86" s="123"/>
      <c r="Q86" s="123"/>
      <c r="R86" s="123"/>
      <c r="S86" s="123"/>
      <c r="T86" s="123"/>
      <c r="U86" s="123"/>
      <c r="V86" s="123"/>
      <c r="W86" s="123"/>
      <c r="X86" s="123"/>
      <c r="Y86" s="123"/>
      <c r="Z86" s="123"/>
      <c r="AA86" s="123"/>
      <c r="AB86" s="123"/>
      <c r="AC86" s="123"/>
      <c r="AD86" s="123"/>
      <c r="AE86" s="123"/>
      <c r="AF86" s="123"/>
      <c r="AG86" s="123"/>
      <c r="AH86" s="123"/>
      <c r="AI86" s="123"/>
      <c r="AJ86" s="123"/>
      <c r="AK86" s="123"/>
      <c r="AL86" s="123"/>
      <c r="AM86" s="123"/>
      <c r="AN86" s="123"/>
      <c r="AO86" s="123"/>
      <c r="AP86" s="123"/>
      <c r="AQ86" s="123"/>
      <c r="AR86" s="123"/>
      <c r="AS86" s="123"/>
      <c r="AT86" s="123"/>
      <c r="AU86" s="123"/>
      <c r="AV86" s="123"/>
      <c r="AW86" s="123"/>
      <c r="AX86" s="123"/>
      <c r="AY86" s="123"/>
      <c r="AZ86" s="123"/>
      <c r="BA86" s="123"/>
      <c r="BB86" s="123"/>
      <c r="BC86" s="123"/>
      <c r="BD86" s="123"/>
      <c r="EG86" s="123"/>
      <c r="EH86" s="123"/>
      <c r="EI86" s="123"/>
      <c r="EJ86" s="123"/>
      <c r="EK86" s="123"/>
      <c r="EL86" s="123"/>
      <c r="EM86" s="123"/>
      <c r="EN86" s="123"/>
    </row>
    <row r="87" spans="1:183">
      <c r="A87" s="259"/>
      <c r="B87" s="97"/>
      <c r="C87" s="22"/>
      <c r="D87" s="22"/>
      <c r="E87" s="22"/>
      <c r="F87" s="22"/>
      <c r="G87" s="22"/>
      <c r="H87" s="22"/>
      <c r="I87" s="22"/>
      <c r="J87" s="22"/>
      <c r="K87" s="22"/>
      <c r="L87" s="22"/>
      <c r="M87" s="22"/>
      <c r="N87" s="123"/>
      <c r="O87" s="123"/>
      <c r="P87" s="123"/>
      <c r="Q87" s="123"/>
      <c r="R87" s="123"/>
      <c r="S87" s="123"/>
      <c r="T87" s="123"/>
      <c r="U87" s="123"/>
      <c r="V87" s="123"/>
      <c r="W87" s="123"/>
      <c r="X87" s="123"/>
      <c r="Y87" s="123"/>
      <c r="Z87" s="123"/>
      <c r="AA87" s="123"/>
      <c r="AB87" s="123"/>
      <c r="AC87" s="123"/>
      <c r="AD87" s="123"/>
      <c r="AE87" s="123"/>
      <c r="AF87" s="123"/>
      <c r="AG87" s="123"/>
      <c r="AH87" s="123"/>
      <c r="AI87" s="123"/>
      <c r="AJ87" s="123"/>
      <c r="AK87" s="123"/>
      <c r="AL87" s="123"/>
      <c r="AM87" s="123"/>
      <c r="AN87" s="123"/>
      <c r="AO87" s="123"/>
      <c r="AP87" s="123"/>
      <c r="AQ87" s="123"/>
      <c r="AR87" s="123"/>
      <c r="AS87" s="123"/>
      <c r="AT87" s="123"/>
      <c r="AU87" s="123"/>
      <c r="AV87" s="123"/>
      <c r="AW87" s="123"/>
      <c r="AX87" s="123"/>
      <c r="AY87" s="123"/>
      <c r="AZ87" s="123"/>
      <c r="BA87" s="123"/>
      <c r="BB87" s="123"/>
      <c r="BC87" s="123"/>
      <c r="BD87" s="123"/>
      <c r="BE87" s="199"/>
      <c r="BF87" s="123"/>
      <c r="BG87" s="123"/>
      <c r="BH87" s="123"/>
      <c r="BI87" s="123"/>
      <c r="BJ87" s="123"/>
      <c r="BK87" s="123"/>
      <c r="BL87" s="123"/>
      <c r="BM87" s="123"/>
      <c r="BN87" s="123"/>
      <c r="BO87" s="123"/>
      <c r="BP87" s="123"/>
      <c r="BQ87" s="123"/>
      <c r="BR87" s="123"/>
      <c r="BS87" s="123"/>
      <c r="EE87" s="123"/>
      <c r="EF87" s="123"/>
      <c r="EG87" s="123"/>
      <c r="EH87" s="123"/>
      <c r="EI87" s="123"/>
      <c r="EJ87" s="123"/>
      <c r="EK87" s="123"/>
      <c r="EL87" s="123"/>
      <c r="EM87" s="123"/>
      <c r="EN87" s="123"/>
    </row>
    <row r="88" spans="1:183">
      <c r="A88" s="23" t="s">
        <v>325</v>
      </c>
      <c r="ET88" t="s">
        <v>1418</v>
      </c>
    </row>
    <row r="89" spans="1:183">
      <c r="A89" s="99" t="s">
        <v>848</v>
      </c>
      <c r="B89" s="35" t="s">
        <v>1050</v>
      </c>
      <c r="C89" s="108"/>
      <c r="D89" s="108"/>
      <c r="E89" s="108"/>
      <c r="F89" s="108"/>
      <c r="G89" s="108"/>
      <c r="H89" s="108"/>
      <c r="I89" s="108"/>
      <c r="J89" s="108"/>
      <c r="K89" s="108"/>
      <c r="L89" s="108"/>
      <c r="M89" s="108"/>
      <c r="N89" s="919">
        <f t="shared" ref="N89:AW89" si="257">N1</f>
        <v>38718</v>
      </c>
      <c r="O89" s="919">
        <f t="shared" si="257"/>
        <v>38749</v>
      </c>
      <c r="P89" s="919">
        <f t="shared" si="257"/>
        <v>38777</v>
      </c>
      <c r="Q89" s="919">
        <f t="shared" si="257"/>
        <v>38808</v>
      </c>
      <c r="R89" s="919">
        <f t="shared" si="257"/>
        <v>38838</v>
      </c>
      <c r="S89" s="919">
        <f t="shared" si="257"/>
        <v>38869</v>
      </c>
      <c r="T89" s="919">
        <f t="shared" si="257"/>
        <v>38899</v>
      </c>
      <c r="U89" s="919">
        <f t="shared" si="257"/>
        <v>38930</v>
      </c>
      <c r="V89" s="919">
        <f t="shared" si="257"/>
        <v>38961</v>
      </c>
      <c r="W89" s="919">
        <f t="shared" si="257"/>
        <v>38991</v>
      </c>
      <c r="X89" s="919">
        <f t="shared" si="257"/>
        <v>39022</v>
      </c>
      <c r="Y89" s="919">
        <f t="shared" si="257"/>
        <v>39052</v>
      </c>
      <c r="Z89" s="919">
        <f t="shared" si="257"/>
        <v>39083</v>
      </c>
      <c r="AA89" s="919">
        <f t="shared" si="257"/>
        <v>39114</v>
      </c>
      <c r="AB89" s="919">
        <f t="shared" si="257"/>
        <v>39142</v>
      </c>
      <c r="AC89" s="919">
        <f t="shared" si="257"/>
        <v>39173</v>
      </c>
      <c r="AD89" s="919">
        <f t="shared" si="257"/>
        <v>39203</v>
      </c>
      <c r="AE89" s="919">
        <f t="shared" si="257"/>
        <v>39234</v>
      </c>
      <c r="AF89" s="919">
        <f t="shared" si="257"/>
        <v>39264</v>
      </c>
      <c r="AG89" s="919">
        <f t="shared" si="257"/>
        <v>39295</v>
      </c>
      <c r="AH89" s="919">
        <f t="shared" si="257"/>
        <v>39326</v>
      </c>
      <c r="AI89" s="919">
        <f t="shared" si="257"/>
        <v>39356</v>
      </c>
      <c r="AJ89" s="919">
        <f t="shared" si="257"/>
        <v>39387</v>
      </c>
      <c r="AK89" s="919">
        <f t="shared" si="257"/>
        <v>39417</v>
      </c>
      <c r="AL89" s="919">
        <f t="shared" si="257"/>
        <v>39448</v>
      </c>
      <c r="AM89" s="919">
        <f t="shared" si="257"/>
        <v>39479</v>
      </c>
      <c r="AN89" s="919">
        <f t="shared" si="257"/>
        <v>39508</v>
      </c>
      <c r="AO89" s="919">
        <f t="shared" si="257"/>
        <v>39539</v>
      </c>
      <c r="AP89" s="919">
        <f t="shared" si="257"/>
        <v>39569</v>
      </c>
      <c r="AQ89" s="919">
        <f t="shared" si="257"/>
        <v>39600</v>
      </c>
      <c r="AR89" s="919">
        <f t="shared" si="257"/>
        <v>39630</v>
      </c>
      <c r="AS89" s="919">
        <f t="shared" si="257"/>
        <v>39661</v>
      </c>
      <c r="AT89" s="919">
        <f t="shared" si="257"/>
        <v>39692</v>
      </c>
      <c r="AU89" s="919">
        <f t="shared" si="257"/>
        <v>39722</v>
      </c>
      <c r="AV89" s="919">
        <f t="shared" si="257"/>
        <v>39753</v>
      </c>
      <c r="AW89" s="919">
        <f t="shared" si="257"/>
        <v>39783</v>
      </c>
      <c r="AX89" s="918">
        <f t="shared" ref="AX89:BU89" si="258">AX1</f>
        <v>39814</v>
      </c>
      <c r="AY89" s="919">
        <f t="shared" si="258"/>
        <v>39845</v>
      </c>
      <c r="AZ89" s="919">
        <f t="shared" si="258"/>
        <v>39873</v>
      </c>
      <c r="BA89" s="919">
        <f t="shared" si="258"/>
        <v>39904</v>
      </c>
      <c r="BB89" s="919">
        <f t="shared" si="258"/>
        <v>39934</v>
      </c>
      <c r="BC89" s="919">
        <f t="shared" si="258"/>
        <v>39965</v>
      </c>
      <c r="BD89" s="919">
        <f t="shared" si="258"/>
        <v>39995</v>
      </c>
      <c r="BE89" s="919">
        <f t="shared" si="258"/>
        <v>40026</v>
      </c>
      <c r="BF89" s="919">
        <f t="shared" si="258"/>
        <v>40057</v>
      </c>
      <c r="BG89" s="919">
        <f t="shared" si="258"/>
        <v>40087</v>
      </c>
      <c r="BH89" s="919">
        <f t="shared" si="258"/>
        <v>40118</v>
      </c>
      <c r="BI89" s="920">
        <f>+BI58</f>
        <v>40148</v>
      </c>
      <c r="BJ89" s="919">
        <f t="shared" si="258"/>
        <v>40179</v>
      </c>
      <c r="BK89" s="919">
        <f t="shared" si="258"/>
        <v>40210</v>
      </c>
      <c r="BL89" s="919">
        <f t="shared" si="258"/>
        <v>40238</v>
      </c>
      <c r="BM89" s="919">
        <f t="shared" si="258"/>
        <v>40269</v>
      </c>
      <c r="BN89" s="919">
        <f t="shared" si="258"/>
        <v>40299</v>
      </c>
      <c r="BO89" s="919">
        <f t="shared" si="258"/>
        <v>40330</v>
      </c>
      <c r="BP89" s="919">
        <f t="shared" si="258"/>
        <v>40360</v>
      </c>
      <c r="BQ89" s="919">
        <f t="shared" si="258"/>
        <v>40391</v>
      </c>
      <c r="BR89" s="919">
        <f t="shared" si="258"/>
        <v>40422</v>
      </c>
      <c r="BS89" s="919">
        <f t="shared" si="258"/>
        <v>40452</v>
      </c>
      <c r="BT89" s="919">
        <f t="shared" si="258"/>
        <v>40483</v>
      </c>
      <c r="BU89" s="920">
        <f t="shared" si="258"/>
        <v>40513</v>
      </c>
      <c r="BV89" s="919">
        <f t="shared" ref="BV89:CG89" si="259">BV1</f>
        <v>40544</v>
      </c>
      <c r="BW89" s="919">
        <f t="shared" si="259"/>
        <v>40575</v>
      </c>
      <c r="BX89" s="919">
        <f t="shared" si="259"/>
        <v>40603</v>
      </c>
      <c r="BY89" s="919">
        <f t="shared" si="259"/>
        <v>40634</v>
      </c>
      <c r="BZ89" s="919">
        <f t="shared" si="259"/>
        <v>40664</v>
      </c>
      <c r="CA89" s="919">
        <f t="shared" si="259"/>
        <v>40695</v>
      </c>
      <c r="CB89" s="919">
        <f t="shared" si="259"/>
        <v>40725</v>
      </c>
      <c r="CC89" s="919">
        <f t="shared" si="259"/>
        <v>40756</v>
      </c>
      <c r="CD89" s="919">
        <f t="shared" si="259"/>
        <v>40787</v>
      </c>
      <c r="CE89" s="919">
        <f t="shared" si="259"/>
        <v>40817</v>
      </c>
      <c r="CF89" s="919">
        <f t="shared" si="259"/>
        <v>40848</v>
      </c>
      <c r="CG89" s="920">
        <f t="shared" si="259"/>
        <v>40878</v>
      </c>
      <c r="CH89" s="921">
        <v>40909</v>
      </c>
      <c r="CI89" s="922">
        <v>40940</v>
      </c>
      <c r="CJ89" s="922">
        <v>40969</v>
      </c>
      <c r="CK89" s="922">
        <v>41000</v>
      </c>
      <c r="CL89" s="922">
        <v>41030</v>
      </c>
      <c r="CM89" s="922">
        <v>41061</v>
      </c>
      <c r="CN89" s="922">
        <v>41091</v>
      </c>
      <c r="CO89" s="922">
        <v>41122</v>
      </c>
      <c r="CP89" s="922">
        <v>41153</v>
      </c>
      <c r="CQ89" s="922">
        <v>41183</v>
      </c>
      <c r="CR89" s="922">
        <v>41214</v>
      </c>
      <c r="CS89" s="923">
        <v>41244</v>
      </c>
      <c r="CT89" s="918">
        <v>41275</v>
      </c>
      <c r="CU89" s="919">
        <v>41306</v>
      </c>
      <c r="CV89" s="919">
        <v>41334</v>
      </c>
      <c r="CW89" s="919">
        <v>41365</v>
      </c>
      <c r="CX89" s="919">
        <v>41395</v>
      </c>
      <c r="CY89" s="919">
        <v>41426</v>
      </c>
      <c r="CZ89" s="919">
        <v>41456</v>
      </c>
      <c r="DA89" s="919">
        <v>41487</v>
      </c>
      <c r="DB89" s="919">
        <v>41518</v>
      </c>
      <c r="DC89" s="919">
        <v>41548</v>
      </c>
      <c r="DD89" s="919">
        <v>41579</v>
      </c>
      <c r="DE89" s="920">
        <v>41609</v>
      </c>
      <c r="DF89" s="918">
        <v>41640</v>
      </c>
      <c r="DG89" s="919">
        <v>41671</v>
      </c>
      <c r="DH89" s="919">
        <v>41699</v>
      </c>
      <c r="DI89" s="919">
        <v>41730</v>
      </c>
      <c r="DJ89" s="919">
        <v>41760</v>
      </c>
      <c r="DK89" s="919">
        <v>41791</v>
      </c>
      <c r="DL89" s="919">
        <v>41821</v>
      </c>
      <c r="DM89" s="919">
        <v>41852</v>
      </c>
      <c r="DN89" s="919">
        <v>41883</v>
      </c>
      <c r="DO89" s="919">
        <v>41913</v>
      </c>
      <c r="DP89" s="919">
        <v>41944</v>
      </c>
      <c r="DQ89" s="920">
        <v>41974</v>
      </c>
      <c r="DR89" s="918">
        <v>42005</v>
      </c>
      <c r="DS89" s="919">
        <v>42036</v>
      </c>
      <c r="DT89" s="919">
        <v>42064</v>
      </c>
      <c r="DU89" s="919">
        <v>42095</v>
      </c>
      <c r="DV89" s="919">
        <v>42125</v>
      </c>
      <c r="DW89" s="919">
        <v>42156</v>
      </c>
      <c r="DX89" s="919">
        <v>42186</v>
      </c>
      <c r="DY89" s="919">
        <v>42217</v>
      </c>
      <c r="DZ89" s="919">
        <v>42248</v>
      </c>
      <c r="EA89" s="919">
        <v>42278</v>
      </c>
      <c r="EB89" s="919">
        <v>42309</v>
      </c>
      <c r="EC89" s="920">
        <v>42339</v>
      </c>
      <c r="ED89" s="35" t="s">
        <v>974</v>
      </c>
      <c r="EF89" s="166" t="s">
        <v>1601</v>
      </c>
      <c r="EG89" s="167" t="s">
        <v>724</v>
      </c>
      <c r="EH89" s="168" t="s">
        <v>725</v>
      </c>
      <c r="EI89" s="168" t="s">
        <v>726</v>
      </c>
      <c r="EJ89" s="169" t="s">
        <v>727</v>
      </c>
      <c r="EK89" s="167" t="s">
        <v>590</v>
      </c>
      <c r="EL89" s="168" t="s">
        <v>591</v>
      </c>
      <c r="EM89" s="168" t="s">
        <v>592</v>
      </c>
      <c r="EN89" s="169" t="s">
        <v>593</v>
      </c>
      <c r="EO89" s="167" t="s">
        <v>606</v>
      </c>
      <c r="EP89" s="168" t="s">
        <v>607</v>
      </c>
      <c r="EQ89" s="168" t="s">
        <v>608</v>
      </c>
      <c r="ER89" s="169" t="s">
        <v>609</v>
      </c>
      <c r="ES89" s="167" t="s">
        <v>451</v>
      </c>
      <c r="ET89" s="168" t="s">
        <v>452</v>
      </c>
      <c r="EU89" s="168" t="s">
        <v>453</v>
      </c>
      <c r="EV89" s="169" t="s">
        <v>454</v>
      </c>
      <c r="EW89" s="167" t="s">
        <v>2152</v>
      </c>
      <c r="EX89" s="168" t="s">
        <v>2153</v>
      </c>
      <c r="EY89" s="168" t="s">
        <v>2154</v>
      </c>
      <c r="EZ89" s="169" t="s">
        <v>2155</v>
      </c>
      <c r="FA89" s="522" t="s">
        <v>2848</v>
      </c>
      <c r="FB89" s="523" t="s">
        <v>2849</v>
      </c>
      <c r="FC89" s="523" t="s">
        <v>2850</v>
      </c>
      <c r="FD89" s="524" t="s">
        <v>2851</v>
      </c>
      <c r="FE89" s="522" t="s">
        <v>3951</v>
      </c>
      <c r="FF89" s="523" t="s">
        <v>3952</v>
      </c>
      <c r="FG89" s="523" t="s">
        <v>3953</v>
      </c>
      <c r="FH89" s="524" t="s">
        <v>3954</v>
      </c>
      <c r="FI89" s="522" t="s">
        <v>4096</v>
      </c>
      <c r="FJ89" s="523" t="s">
        <v>4097</v>
      </c>
      <c r="FK89" s="523" t="s">
        <v>4098</v>
      </c>
      <c r="FL89" s="524" t="s">
        <v>4099</v>
      </c>
      <c r="FM89" s="522" t="s">
        <v>4103</v>
      </c>
      <c r="FN89" s="523" t="s">
        <v>4104</v>
      </c>
      <c r="FO89" s="523" t="s">
        <v>4105</v>
      </c>
      <c r="FP89" s="524" t="s">
        <v>4106</v>
      </c>
      <c r="FR89" s="1093">
        <v>2006</v>
      </c>
      <c r="FS89" s="1094">
        <v>2007</v>
      </c>
      <c r="FT89" s="1094">
        <v>2008</v>
      </c>
      <c r="FU89" s="1094">
        <v>2009</v>
      </c>
      <c r="FV89" s="517">
        <v>2010</v>
      </c>
      <c r="FW89" s="517">
        <v>2011</v>
      </c>
      <c r="FX89" s="517">
        <v>2012</v>
      </c>
      <c r="FY89" s="517">
        <v>2013</v>
      </c>
      <c r="FZ89" s="517">
        <v>2014</v>
      </c>
      <c r="GA89" s="540">
        <v>2015</v>
      </c>
    </row>
    <row r="90" spans="1:183">
      <c r="A90" s="136" t="s">
        <v>1586</v>
      </c>
      <c r="B90" s="233"/>
      <c r="C90">
        <v>0</v>
      </c>
      <c r="D90">
        <v>0</v>
      </c>
      <c r="E90">
        <v>0</v>
      </c>
      <c r="F90">
        <v>0</v>
      </c>
      <c r="G90">
        <v>0</v>
      </c>
      <c r="H90">
        <v>0</v>
      </c>
      <c r="I90">
        <v>0</v>
      </c>
      <c r="J90">
        <v>0</v>
      </c>
      <c r="K90">
        <v>0</v>
      </c>
      <c r="L90">
        <v>0</v>
      </c>
      <c r="M90">
        <v>0</v>
      </c>
      <c r="N90" s="74">
        <v>0</v>
      </c>
      <c r="O90" s="67">
        <v>0</v>
      </c>
      <c r="P90" s="67">
        <v>0</v>
      </c>
      <c r="Q90" s="67">
        <v>0</v>
      </c>
      <c r="R90" s="67">
        <v>0</v>
      </c>
      <c r="S90" s="67">
        <v>0</v>
      </c>
      <c r="T90" s="67">
        <v>0</v>
      </c>
      <c r="U90" s="67">
        <v>0</v>
      </c>
      <c r="V90" s="67">
        <v>0</v>
      </c>
      <c r="W90" s="67">
        <v>0</v>
      </c>
      <c r="X90" s="67">
        <v>0</v>
      </c>
      <c r="Y90" s="11">
        <v>0</v>
      </c>
      <c r="Z90">
        <v>0</v>
      </c>
      <c r="AA90">
        <v>0</v>
      </c>
      <c r="AB90">
        <v>0</v>
      </c>
      <c r="AC90">
        <v>0</v>
      </c>
      <c r="AD90">
        <v>0</v>
      </c>
      <c r="AE90">
        <v>0</v>
      </c>
      <c r="AF90">
        <v>0</v>
      </c>
      <c r="AG90">
        <v>0</v>
      </c>
      <c r="AH90">
        <v>0</v>
      </c>
      <c r="AI90">
        <v>0</v>
      </c>
      <c r="AJ90">
        <v>0</v>
      </c>
      <c r="AK90">
        <v>0</v>
      </c>
      <c r="AL90" s="74">
        <v>0</v>
      </c>
      <c r="AM90" s="67">
        <v>0</v>
      </c>
      <c r="AN90" s="67">
        <v>0</v>
      </c>
      <c r="AO90" s="67">
        <v>0</v>
      </c>
      <c r="AP90" s="67">
        <v>0</v>
      </c>
      <c r="AQ90" s="67">
        <v>0</v>
      </c>
      <c r="AR90" s="305">
        <v>0</v>
      </c>
      <c r="AS90" s="305">
        <v>0</v>
      </c>
      <c r="AT90" s="67">
        <v>0</v>
      </c>
      <c r="AU90" s="67">
        <v>0</v>
      </c>
      <c r="AV90" s="67">
        <v>0</v>
      </c>
      <c r="AW90" s="11">
        <v>0</v>
      </c>
      <c r="AX90" s="19">
        <v>0</v>
      </c>
      <c r="AY90" s="22">
        <v>0</v>
      </c>
      <c r="AZ90" s="22">
        <v>0</v>
      </c>
      <c r="BA90" s="22">
        <v>0</v>
      </c>
      <c r="BB90" s="22">
        <v>0</v>
      </c>
      <c r="BC90" s="22">
        <v>0</v>
      </c>
      <c r="BD90" s="22">
        <v>0</v>
      </c>
      <c r="BE90" s="22">
        <v>0</v>
      </c>
      <c r="BF90" s="22">
        <v>1</v>
      </c>
      <c r="BG90" s="22">
        <v>0</v>
      </c>
      <c r="BH90" s="22">
        <v>0</v>
      </c>
      <c r="BI90" s="12">
        <v>0</v>
      </c>
      <c r="BJ90">
        <v>0</v>
      </c>
      <c r="BK90">
        <v>0</v>
      </c>
      <c r="BL90">
        <v>0</v>
      </c>
      <c r="BM90">
        <v>0</v>
      </c>
      <c r="BN90">
        <v>0</v>
      </c>
      <c r="BO90">
        <v>0</v>
      </c>
      <c r="BP90">
        <v>0</v>
      </c>
      <c r="BQ90">
        <v>0</v>
      </c>
      <c r="BR90">
        <v>0</v>
      </c>
      <c r="BS90">
        <v>0</v>
      </c>
      <c r="BT90">
        <v>0</v>
      </c>
      <c r="BU90">
        <v>0</v>
      </c>
      <c r="BV90" s="74">
        <v>0</v>
      </c>
      <c r="BW90" s="67">
        <v>0</v>
      </c>
      <c r="BX90" s="67">
        <v>0</v>
      </c>
      <c r="BY90" s="67">
        <v>0</v>
      </c>
      <c r="BZ90" s="67">
        <v>0</v>
      </c>
      <c r="CA90" s="67">
        <v>0</v>
      </c>
      <c r="CB90" s="67">
        <v>0</v>
      </c>
      <c r="CC90" s="67">
        <v>0</v>
      </c>
      <c r="CD90" s="67">
        <v>0</v>
      </c>
      <c r="CE90" s="67">
        <v>0</v>
      </c>
      <c r="CF90" s="67">
        <v>0</v>
      </c>
      <c r="CG90" s="67">
        <v>0</v>
      </c>
      <c r="CH90" s="829">
        <v>0</v>
      </c>
      <c r="CI90" s="67">
        <v>0</v>
      </c>
      <c r="CJ90" s="67">
        <v>0</v>
      </c>
      <c r="CK90" s="67">
        <v>0</v>
      </c>
      <c r="CL90" s="67">
        <v>0</v>
      </c>
      <c r="CM90" s="67">
        <v>0</v>
      </c>
      <c r="CN90" s="67">
        <v>1</v>
      </c>
      <c r="CO90" s="67">
        <v>0</v>
      </c>
      <c r="CP90" s="67">
        <v>0</v>
      </c>
      <c r="CQ90" s="67">
        <v>0</v>
      </c>
      <c r="CR90" s="67">
        <v>0</v>
      </c>
      <c r="CS90" s="11">
        <v>0</v>
      </c>
      <c r="CT90" s="829">
        <v>0</v>
      </c>
      <c r="CU90" s="67">
        <v>0</v>
      </c>
      <c r="CV90" s="67">
        <v>0</v>
      </c>
      <c r="CW90" s="67">
        <v>0</v>
      </c>
      <c r="CX90" s="67">
        <v>0</v>
      </c>
      <c r="CY90" s="67">
        <v>0</v>
      </c>
      <c r="CZ90" s="67">
        <v>0</v>
      </c>
      <c r="DA90" s="67">
        <v>0</v>
      </c>
      <c r="DB90" s="67">
        <v>0</v>
      </c>
      <c r="DC90" s="67">
        <v>0</v>
      </c>
      <c r="DD90" s="67">
        <v>0</v>
      </c>
      <c r="DE90" s="11">
        <v>0</v>
      </c>
      <c r="DF90" s="829">
        <v>0</v>
      </c>
      <c r="DG90" s="67">
        <v>0</v>
      </c>
      <c r="DH90" s="67">
        <v>0</v>
      </c>
      <c r="DI90" s="67">
        <v>0</v>
      </c>
      <c r="DJ90" s="67">
        <v>0</v>
      </c>
      <c r="DK90" s="67">
        <v>0</v>
      </c>
      <c r="DL90" s="67">
        <v>0</v>
      </c>
      <c r="DM90" s="67">
        <v>0</v>
      </c>
      <c r="DN90" s="67">
        <v>0</v>
      </c>
      <c r="DO90" s="67">
        <v>0</v>
      </c>
      <c r="DP90" s="67">
        <v>0</v>
      </c>
      <c r="DQ90" s="11">
        <v>0</v>
      </c>
      <c r="DR90" s="829">
        <v>0</v>
      </c>
      <c r="DS90" s="67">
        <v>0</v>
      </c>
      <c r="DT90" s="67">
        <v>0</v>
      </c>
      <c r="DU90" s="67">
        <v>0</v>
      </c>
      <c r="DV90" s="67">
        <v>0</v>
      </c>
      <c r="DW90" s="67">
        <v>0</v>
      </c>
      <c r="DX90" s="67">
        <v>0</v>
      </c>
      <c r="DY90" s="67">
        <v>0</v>
      </c>
      <c r="DZ90" s="67">
        <v>0</v>
      </c>
      <c r="EA90" s="67">
        <v>0</v>
      </c>
      <c r="EB90" s="67">
        <v>0</v>
      </c>
      <c r="EC90" s="11">
        <v>0</v>
      </c>
      <c r="ED90" s="11">
        <f t="shared" ref="ED90:ED118" si="260">SUM(N90:EC90)</f>
        <v>2</v>
      </c>
      <c r="EF90" s="6">
        <f t="shared" ref="EF90:EF117" si="261">+W90+X90+Y90</f>
        <v>0</v>
      </c>
      <c r="EG90" s="19">
        <f t="shared" ref="EG90:EG117" si="262">+Z90+AA90+AB90</f>
        <v>0</v>
      </c>
      <c r="EH90" s="22">
        <f t="shared" ref="EH90:EH117" si="263">+AC90+AD90+AE90</f>
        <v>0</v>
      </c>
      <c r="EI90" s="22">
        <f t="shared" ref="EI90:EI117" si="264">+AF90+AG90+AH90</f>
        <v>0</v>
      </c>
      <c r="EJ90" s="12">
        <f t="shared" ref="EJ90:EJ117" si="265">+AI90+AJ90+AK90</f>
        <v>0</v>
      </c>
      <c r="EK90" s="22">
        <f t="shared" ref="EK90:EK117" si="266">+AL90+AM90+AN90</f>
        <v>0</v>
      </c>
      <c r="EL90" s="22">
        <f t="shared" ref="EL90:EL117" si="267">+AO90+AP90+AQ90</f>
        <v>0</v>
      </c>
      <c r="EM90" s="22">
        <f t="shared" ref="EM90:EM117" si="268">+AR90+AS90+AT90</f>
        <v>0</v>
      </c>
      <c r="EN90" s="22">
        <f t="shared" ref="EN90:EN117" si="269">+AU90+AV90+AW90</f>
        <v>0</v>
      </c>
      <c r="EO90" s="74">
        <f>+AX90+AY90+AZ90</f>
        <v>0</v>
      </c>
      <c r="EP90" s="67">
        <f>+BA90+BB90+BC90</f>
        <v>0</v>
      </c>
      <c r="EQ90" s="67">
        <f>+BD90+BE90+BF90</f>
        <v>1</v>
      </c>
      <c r="ER90" s="11">
        <f>+BG90+BH90+BI90</f>
        <v>0</v>
      </c>
      <c r="ES90" s="90">
        <f t="shared" ref="ES90:ES118" si="270">SUM(BJ90:BL90)</f>
        <v>0</v>
      </c>
      <c r="ET90" s="94">
        <f t="shared" ref="ET90:ET118" si="271">SUM(BM90:BO90)</f>
        <v>0</v>
      </c>
      <c r="EU90" s="94">
        <f>SUM(BP90:BR90)</f>
        <v>0</v>
      </c>
      <c r="EV90" s="28">
        <f>SUM(BS90:BU90)</f>
        <v>0</v>
      </c>
      <c r="EW90" s="90">
        <f t="shared" ref="EW90:EW118" si="272">SUM(BV90:BX90)</f>
        <v>0</v>
      </c>
      <c r="EX90" s="94">
        <f t="shared" ref="EX90:EX118" si="273">SUM(BY90:CA90)</f>
        <v>0</v>
      </c>
      <c r="EY90" s="94">
        <f t="shared" ref="EY90:EY118" si="274">SUM(CB90:CD90)</f>
        <v>0</v>
      </c>
      <c r="EZ90" s="28">
        <f t="shared" ref="EZ90:EZ118" si="275">SUM(CE90:CG90)</f>
        <v>0</v>
      </c>
      <c r="FA90" s="213">
        <f>SUM(CH90:CJ90)</f>
        <v>0</v>
      </c>
      <c r="FB90" s="214">
        <f>SUM(CK90:CM90)</f>
        <v>0</v>
      </c>
      <c r="FC90" s="214">
        <f>SUM(CN90:CP90)</f>
        <v>1</v>
      </c>
      <c r="FD90" s="215">
        <f>SUM(CQ90:CS90)</f>
        <v>0</v>
      </c>
      <c r="FE90" s="213">
        <f t="shared" ref="FE90:FE117" si="276">SUM(CT90:CV90)</f>
        <v>0</v>
      </c>
      <c r="FF90" s="214">
        <f t="shared" ref="FF90:FF117" si="277">SUM(CW90:CY90)</f>
        <v>0</v>
      </c>
      <c r="FG90" s="214">
        <f t="shared" ref="FG90:FG117" si="278">SUM(CZ90:DB90)</f>
        <v>0</v>
      </c>
      <c r="FH90" s="215">
        <f t="shared" ref="FH90:FH117" si="279">SUM(DC90:DE90)</f>
        <v>0</v>
      </c>
      <c r="FI90" s="213">
        <f t="shared" ref="FI90:FI118" si="280">SUM(DF90:DH90)</f>
        <v>0</v>
      </c>
      <c r="FJ90" s="214">
        <f t="shared" ref="FJ90:FJ118" si="281">SUM(DI90:DK90)</f>
        <v>0</v>
      </c>
      <c r="FK90" s="214">
        <f t="shared" ref="FK90:FK118" si="282">SUM(DL90:DN90)</f>
        <v>0</v>
      </c>
      <c r="FL90" s="215">
        <f t="shared" ref="FL90:FL118" si="283">SUM(DO90:DQ90)</f>
        <v>0</v>
      </c>
      <c r="FM90" s="213">
        <f t="shared" ref="FM90:FM118" si="284">SUM(DR90:DT90)</f>
        <v>0</v>
      </c>
      <c r="FN90" s="214">
        <f t="shared" ref="FN90:FN118" si="285">SUM(DU90:DW90)</f>
        <v>0</v>
      </c>
      <c r="FO90" s="214">
        <f t="shared" ref="FO90:FO118" si="286">SUM(DX90:DZ90)</f>
        <v>0</v>
      </c>
      <c r="FP90" s="215">
        <f t="shared" ref="FP90:FP118" si="287">SUM(EA90:EC90)</f>
        <v>0</v>
      </c>
      <c r="FR90" s="1100">
        <f t="shared" ref="FR90:FR118" si="288">SUM(EF90:EF90)</f>
        <v>0</v>
      </c>
      <c r="FS90" s="1101">
        <f t="shared" ref="FS90:FS118" si="289">SUM(EG90:EJ90)</f>
        <v>0</v>
      </c>
      <c r="FT90" s="1101">
        <f t="shared" ref="FT90:FT115" si="290">SUM(EK90:EN90)</f>
        <v>0</v>
      </c>
      <c r="FU90" s="1101">
        <f t="shared" ref="FU90:FU118" si="291">SUM(EO90:ER90)</f>
        <v>1</v>
      </c>
      <c r="FV90" s="1102">
        <f t="shared" ref="FV90:FV118" si="292">SUM(ES90:EV90)</f>
        <v>0</v>
      </c>
      <c r="FW90" s="1102">
        <f t="shared" ref="FW90:FW118" si="293">SUM(EW90:EZ90)</f>
        <v>0</v>
      </c>
      <c r="FX90" s="67">
        <f t="shared" ref="FX90:FX118" si="294">SUM(FA90:FD90)</f>
        <v>1</v>
      </c>
      <c r="FY90" s="67">
        <f t="shared" ref="FY90:FY118" si="295">SUM(FE90:FH90)</f>
        <v>0</v>
      </c>
      <c r="FZ90" s="93">
        <f t="shared" ref="FZ90:FZ118" si="296">SUM(FI90:FL90)</f>
        <v>0</v>
      </c>
      <c r="GA90" s="31">
        <f t="shared" ref="GA90:GA118" si="297">SUM(FM90:FP90)</f>
        <v>0</v>
      </c>
    </row>
    <row r="91" spans="1:183">
      <c r="A91" s="136" t="s">
        <v>1059</v>
      </c>
      <c r="B91" s="76"/>
      <c r="C91">
        <v>0</v>
      </c>
      <c r="D91">
        <v>0</v>
      </c>
      <c r="E91">
        <v>0</v>
      </c>
      <c r="F91">
        <v>0</v>
      </c>
      <c r="G91">
        <v>0</v>
      </c>
      <c r="H91">
        <v>0</v>
      </c>
      <c r="I91">
        <v>0</v>
      </c>
      <c r="J91">
        <v>0</v>
      </c>
      <c r="K91">
        <v>0</v>
      </c>
      <c r="L91">
        <v>0</v>
      </c>
      <c r="M91">
        <v>0</v>
      </c>
      <c r="N91" s="19">
        <v>0</v>
      </c>
      <c r="O91" s="22">
        <v>0</v>
      </c>
      <c r="P91" s="22">
        <v>0</v>
      </c>
      <c r="Q91" s="22">
        <v>0</v>
      </c>
      <c r="R91" s="22">
        <v>0</v>
      </c>
      <c r="S91" s="22">
        <v>0</v>
      </c>
      <c r="T91" s="22">
        <v>0</v>
      </c>
      <c r="U91" s="22">
        <v>0</v>
      </c>
      <c r="V91" s="22">
        <v>0</v>
      </c>
      <c r="W91" s="22">
        <v>0</v>
      </c>
      <c r="X91" s="22">
        <v>0</v>
      </c>
      <c r="Y91" s="12">
        <v>0</v>
      </c>
      <c r="Z91">
        <v>0</v>
      </c>
      <c r="AA91">
        <v>0</v>
      </c>
      <c r="AB91">
        <v>0</v>
      </c>
      <c r="AC91">
        <v>0</v>
      </c>
      <c r="AD91">
        <v>0</v>
      </c>
      <c r="AE91">
        <v>0</v>
      </c>
      <c r="AF91">
        <v>0</v>
      </c>
      <c r="AG91">
        <v>0</v>
      </c>
      <c r="AH91">
        <v>0</v>
      </c>
      <c r="AI91">
        <v>0</v>
      </c>
      <c r="AJ91">
        <v>0</v>
      </c>
      <c r="AK91">
        <v>0</v>
      </c>
      <c r="AL91" s="19">
        <v>0</v>
      </c>
      <c r="AM91" s="22">
        <v>0</v>
      </c>
      <c r="AN91" s="22">
        <v>0</v>
      </c>
      <c r="AO91" s="22">
        <v>0</v>
      </c>
      <c r="AP91" s="22">
        <v>0</v>
      </c>
      <c r="AQ91" s="22">
        <v>0</v>
      </c>
      <c r="AR91" s="23">
        <v>0</v>
      </c>
      <c r="AS91" s="23">
        <v>0</v>
      </c>
      <c r="AT91" s="22">
        <v>0</v>
      </c>
      <c r="AU91" s="22">
        <v>0</v>
      </c>
      <c r="AV91" s="22">
        <v>0</v>
      </c>
      <c r="AW91" s="12">
        <v>0</v>
      </c>
      <c r="AX91" s="19">
        <v>0</v>
      </c>
      <c r="AY91" s="22">
        <v>0</v>
      </c>
      <c r="AZ91" s="22">
        <v>0</v>
      </c>
      <c r="BA91" s="22">
        <v>0</v>
      </c>
      <c r="BB91" s="22">
        <v>0</v>
      </c>
      <c r="BC91" s="22">
        <v>0</v>
      </c>
      <c r="BD91" s="22">
        <v>0</v>
      </c>
      <c r="BE91" s="22">
        <v>0</v>
      </c>
      <c r="BF91" s="22">
        <v>0</v>
      </c>
      <c r="BG91" s="22">
        <v>0</v>
      </c>
      <c r="BH91" s="22">
        <v>0</v>
      </c>
      <c r="BI91" s="12">
        <v>1</v>
      </c>
      <c r="BJ91">
        <v>0</v>
      </c>
      <c r="BK91">
        <v>0</v>
      </c>
      <c r="BL91">
        <v>0</v>
      </c>
      <c r="BM91">
        <v>0</v>
      </c>
      <c r="BN91">
        <v>0</v>
      </c>
      <c r="BO91">
        <v>0</v>
      </c>
      <c r="BP91">
        <v>0</v>
      </c>
      <c r="BQ91">
        <v>0</v>
      </c>
      <c r="BR91">
        <v>0</v>
      </c>
      <c r="BS91">
        <v>0</v>
      </c>
      <c r="BT91">
        <v>0</v>
      </c>
      <c r="BU91">
        <v>0</v>
      </c>
      <c r="BV91" s="19">
        <v>0</v>
      </c>
      <c r="BW91" s="22">
        <v>0</v>
      </c>
      <c r="BX91" s="22">
        <v>0</v>
      </c>
      <c r="BY91" s="22">
        <v>0</v>
      </c>
      <c r="BZ91" s="22">
        <v>0</v>
      </c>
      <c r="CA91" s="22">
        <v>0</v>
      </c>
      <c r="CB91" s="22">
        <v>0</v>
      </c>
      <c r="CC91" s="22">
        <v>0</v>
      </c>
      <c r="CD91" s="22">
        <v>0</v>
      </c>
      <c r="CE91" s="22">
        <v>0</v>
      </c>
      <c r="CF91" s="22">
        <v>0</v>
      </c>
      <c r="CG91" s="22">
        <v>0</v>
      </c>
      <c r="CH91" s="788">
        <v>0</v>
      </c>
      <c r="CI91" s="22">
        <v>1</v>
      </c>
      <c r="CJ91" s="22">
        <v>0</v>
      </c>
      <c r="CK91" s="22">
        <v>0</v>
      </c>
      <c r="CL91" s="22">
        <v>0</v>
      </c>
      <c r="CM91" s="22">
        <v>0</v>
      </c>
      <c r="CN91" s="22">
        <v>0</v>
      </c>
      <c r="CO91" s="22">
        <v>0</v>
      </c>
      <c r="CP91" s="22">
        <v>0</v>
      </c>
      <c r="CQ91" s="22">
        <v>4</v>
      </c>
      <c r="CR91" s="22">
        <v>2</v>
      </c>
      <c r="CS91" s="12">
        <v>4</v>
      </c>
      <c r="CT91" s="788">
        <v>0</v>
      </c>
      <c r="CU91" s="22">
        <v>0</v>
      </c>
      <c r="CV91" s="22">
        <v>0</v>
      </c>
      <c r="CW91" s="22">
        <v>0</v>
      </c>
      <c r="CX91" s="22">
        <v>0</v>
      </c>
      <c r="CY91" s="22">
        <v>0</v>
      </c>
      <c r="CZ91" s="22">
        <v>0</v>
      </c>
      <c r="DA91" s="22">
        <v>0</v>
      </c>
      <c r="DB91" s="22">
        <v>0</v>
      </c>
      <c r="DC91" s="22">
        <v>0</v>
      </c>
      <c r="DD91" s="22">
        <v>0</v>
      </c>
      <c r="DE91" s="12">
        <v>0</v>
      </c>
      <c r="DF91" s="788">
        <v>0</v>
      </c>
      <c r="DG91" s="22">
        <v>0</v>
      </c>
      <c r="DH91" s="22">
        <v>0</v>
      </c>
      <c r="DI91" s="22">
        <v>0</v>
      </c>
      <c r="DJ91" s="22">
        <v>0</v>
      </c>
      <c r="DK91" s="22">
        <v>0</v>
      </c>
      <c r="DL91" s="22">
        <v>0</v>
      </c>
      <c r="DM91" s="22">
        <v>0</v>
      </c>
      <c r="DN91" s="22">
        <v>0</v>
      </c>
      <c r="DO91" s="22">
        <v>0</v>
      </c>
      <c r="DP91" s="22">
        <v>0</v>
      </c>
      <c r="DQ91" s="12">
        <v>0</v>
      </c>
      <c r="DR91" s="788">
        <v>0</v>
      </c>
      <c r="DS91" s="22">
        <v>0</v>
      </c>
      <c r="DT91" s="22">
        <v>0</v>
      </c>
      <c r="DU91" s="22">
        <v>0</v>
      </c>
      <c r="DV91" s="22">
        <v>0</v>
      </c>
      <c r="DW91" s="22">
        <v>0</v>
      </c>
      <c r="DX91" s="22">
        <v>0</v>
      </c>
      <c r="DY91" s="22">
        <v>0</v>
      </c>
      <c r="DZ91" s="22">
        <v>0</v>
      </c>
      <c r="EA91" s="22">
        <v>0</v>
      </c>
      <c r="EB91" s="22">
        <v>0</v>
      </c>
      <c r="EC91" s="12">
        <v>0</v>
      </c>
      <c r="ED91" s="12">
        <f t="shared" si="260"/>
        <v>12</v>
      </c>
      <c r="EF91" s="6">
        <f t="shared" si="261"/>
        <v>0</v>
      </c>
      <c r="EG91" s="19">
        <f t="shared" si="262"/>
        <v>0</v>
      </c>
      <c r="EH91" s="22">
        <f t="shared" si="263"/>
        <v>0</v>
      </c>
      <c r="EI91" s="22">
        <f t="shared" si="264"/>
        <v>0</v>
      </c>
      <c r="EJ91" s="12">
        <f t="shared" si="265"/>
        <v>0</v>
      </c>
      <c r="EK91" s="22">
        <f t="shared" si="266"/>
        <v>0</v>
      </c>
      <c r="EL91" s="22">
        <f t="shared" si="267"/>
        <v>0</v>
      </c>
      <c r="EM91" s="22">
        <f t="shared" si="268"/>
        <v>0</v>
      </c>
      <c r="EN91" s="22">
        <f t="shared" si="269"/>
        <v>0</v>
      </c>
      <c r="EO91" s="19">
        <f t="shared" ref="EO91:EO118" si="298">+AX91+AY91+AZ91</f>
        <v>0</v>
      </c>
      <c r="EP91" s="22">
        <f t="shared" ref="EP91:EP118" si="299">+BA91+BB91+BC91</f>
        <v>0</v>
      </c>
      <c r="EQ91" s="22">
        <f t="shared" ref="EQ91:EQ118" si="300">+BD91+BE91+BF91</f>
        <v>0</v>
      </c>
      <c r="ER91" s="12">
        <f t="shared" ref="ER91:ER118" si="301">+BG91+BH91+BI91</f>
        <v>1</v>
      </c>
      <c r="ES91" s="90">
        <f t="shared" si="270"/>
        <v>0</v>
      </c>
      <c r="ET91" s="94">
        <f t="shared" si="271"/>
        <v>0</v>
      </c>
      <c r="EU91" s="94">
        <f t="shared" ref="EU91:EU118" si="302">SUM(BP91:BR91)</f>
        <v>0</v>
      </c>
      <c r="EV91" s="28">
        <f t="shared" ref="EV91:EV118" si="303">SUM(BS91:BU91)</f>
        <v>0</v>
      </c>
      <c r="EW91" s="90">
        <f t="shared" si="272"/>
        <v>0</v>
      </c>
      <c r="EX91" s="94">
        <f t="shared" si="273"/>
        <v>0</v>
      </c>
      <c r="EY91" s="94">
        <f t="shared" si="274"/>
        <v>0</v>
      </c>
      <c r="EZ91" s="28">
        <f t="shared" si="275"/>
        <v>0</v>
      </c>
      <c r="FA91" s="90">
        <f t="shared" ref="FA91:FA117" si="304">SUM(CH91:CJ91)</f>
        <v>1</v>
      </c>
      <c r="FB91" s="94">
        <f t="shared" ref="FB91:FB117" si="305">SUM(CK91:CM91)</f>
        <v>0</v>
      </c>
      <c r="FC91" s="94">
        <f t="shared" ref="FC91:FC117" si="306">SUM(CN91:CP91)</f>
        <v>0</v>
      </c>
      <c r="FD91" s="28">
        <f t="shared" ref="FD91:FD117" si="307">SUM(CQ91:CS91)</f>
        <v>10</v>
      </c>
      <c r="FE91" s="90">
        <f t="shared" si="276"/>
        <v>0</v>
      </c>
      <c r="FF91" s="94">
        <f t="shared" si="277"/>
        <v>0</v>
      </c>
      <c r="FG91" s="94">
        <f t="shared" si="278"/>
        <v>0</v>
      </c>
      <c r="FH91" s="28">
        <f t="shared" si="279"/>
        <v>0</v>
      </c>
      <c r="FI91" s="90">
        <f t="shared" si="280"/>
        <v>0</v>
      </c>
      <c r="FJ91" s="94">
        <f t="shared" si="281"/>
        <v>0</v>
      </c>
      <c r="FK91" s="94">
        <f t="shared" si="282"/>
        <v>0</v>
      </c>
      <c r="FL91" s="28">
        <f t="shared" si="283"/>
        <v>0</v>
      </c>
      <c r="FM91" s="90">
        <f t="shared" si="284"/>
        <v>0</v>
      </c>
      <c r="FN91" s="94">
        <f t="shared" si="285"/>
        <v>0</v>
      </c>
      <c r="FO91" s="94">
        <f t="shared" si="286"/>
        <v>0</v>
      </c>
      <c r="FP91" s="28">
        <f t="shared" si="287"/>
        <v>0</v>
      </c>
      <c r="FR91" s="125">
        <f t="shared" si="288"/>
        <v>0</v>
      </c>
      <c r="FS91" s="156">
        <f t="shared" si="289"/>
        <v>0</v>
      </c>
      <c r="FT91" s="156">
        <f t="shared" si="290"/>
        <v>0</v>
      </c>
      <c r="FU91" s="156">
        <f t="shared" si="291"/>
        <v>1</v>
      </c>
      <c r="FV91" s="137">
        <f t="shared" si="292"/>
        <v>0</v>
      </c>
      <c r="FW91" s="137">
        <f t="shared" si="293"/>
        <v>0</v>
      </c>
      <c r="FX91" s="22">
        <f t="shared" si="294"/>
        <v>11</v>
      </c>
      <c r="FY91" s="22">
        <f t="shared" si="295"/>
        <v>0</v>
      </c>
      <c r="FZ91" s="94">
        <f t="shared" si="296"/>
        <v>0</v>
      </c>
      <c r="GA91" s="28">
        <f t="shared" si="297"/>
        <v>0</v>
      </c>
    </row>
    <row r="92" spans="1:183">
      <c r="A92" s="219" t="s">
        <v>3656</v>
      </c>
      <c r="B92" s="76"/>
      <c r="N92" s="19">
        <v>0</v>
      </c>
      <c r="O92" s="22">
        <v>0</v>
      </c>
      <c r="P92" s="22">
        <v>0</v>
      </c>
      <c r="Q92" s="22">
        <v>0</v>
      </c>
      <c r="R92" s="22">
        <v>0</v>
      </c>
      <c r="S92" s="22">
        <v>0</v>
      </c>
      <c r="T92" s="22">
        <v>0</v>
      </c>
      <c r="U92" s="22">
        <v>0</v>
      </c>
      <c r="V92" s="22">
        <v>0</v>
      </c>
      <c r="W92" s="22">
        <v>0</v>
      </c>
      <c r="X92" s="22">
        <v>0</v>
      </c>
      <c r="Y92" s="12">
        <v>0</v>
      </c>
      <c r="Z92">
        <v>0</v>
      </c>
      <c r="AA92">
        <v>0</v>
      </c>
      <c r="AB92">
        <v>0</v>
      </c>
      <c r="AC92">
        <v>0</v>
      </c>
      <c r="AD92">
        <v>0</v>
      </c>
      <c r="AE92">
        <v>0</v>
      </c>
      <c r="AF92">
        <v>0</v>
      </c>
      <c r="AG92">
        <v>0</v>
      </c>
      <c r="AH92">
        <v>0</v>
      </c>
      <c r="AI92">
        <v>0</v>
      </c>
      <c r="AJ92">
        <v>0</v>
      </c>
      <c r="AK92">
        <v>0</v>
      </c>
      <c r="AL92" s="19">
        <v>0</v>
      </c>
      <c r="AM92" s="22">
        <v>0</v>
      </c>
      <c r="AN92" s="22">
        <v>0</v>
      </c>
      <c r="AO92" s="22">
        <v>0</v>
      </c>
      <c r="AP92" s="22">
        <v>0</v>
      </c>
      <c r="AQ92" s="22">
        <v>0</v>
      </c>
      <c r="AR92" s="23">
        <v>0</v>
      </c>
      <c r="AS92" s="23">
        <v>0</v>
      </c>
      <c r="AT92" s="22">
        <v>0</v>
      </c>
      <c r="AU92" s="22">
        <v>0</v>
      </c>
      <c r="AV92" s="22">
        <v>0</v>
      </c>
      <c r="AW92" s="12">
        <v>0</v>
      </c>
      <c r="AX92" s="19">
        <v>0</v>
      </c>
      <c r="AY92" s="22">
        <v>0</v>
      </c>
      <c r="AZ92" s="22">
        <v>0</v>
      </c>
      <c r="BA92" s="22">
        <v>0</v>
      </c>
      <c r="BB92" s="22">
        <v>0</v>
      </c>
      <c r="BC92" s="22">
        <v>0</v>
      </c>
      <c r="BD92" s="22">
        <v>0</v>
      </c>
      <c r="BE92" s="22">
        <v>0</v>
      </c>
      <c r="BF92" s="22">
        <v>0</v>
      </c>
      <c r="BG92" s="22">
        <v>0</v>
      </c>
      <c r="BH92" s="22">
        <v>0</v>
      </c>
      <c r="BI92" s="12">
        <v>0</v>
      </c>
      <c r="BJ92">
        <v>0</v>
      </c>
      <c r="BK92">
        <v>0</v>
      </c>
      <c r="BL92">
        <v>0</v>
      </c>
      <c r="BM92">
        <v>0</v>
      </c>
      <c r="BN92">
        <v>0</v>
      </c>
      <c r="BO92">
        <v>0</v>
      </c>
      <c r="BP92">
        <v>0</v>
      </c>
      <c r="BQ92">
        <v>0</v>
      </c>
      <c r="BR92">
        <v>0</v>
      </c>
      <c r="BS92">
        <v>0</v>
      </c>
      <c r="BT92">
        <v>0</v>
      </c>
      <c r="BU92">
        <v>0</v>
      </c>
      <c r="BV92" s="19">
        <v>0</v>
      </c>
      <c r="BW92" s="22">
        <v>0</v>
      </c>
      <c r="BX92" s="22">
        <v>0</v>
      </c>
      <c r="BY92" s="22">
        <v>0</v>
      </c>
      <c r="BZ92" s="22">
        <v>0</v>
      </c>
      <c r="CA92" s="22">
        <v>0</v>
      </c>
      <c r="CB92" s="22">
        <v>0</v>
      </c>
      <c r="CC92" s="22">
        <v>0</v>
      </c>
      <c r="CD92" s="22">
        <v>0</v>
      </c>
      <c r="CE92" s="22">
        <v>0</v>
      </c>
      <c r="CF92" s="22">
        <v>0</v>
      </c>
      <c r="CG92" s="22">
        <v>0</v>
      </c>
      <c r="CH92" s="19">
        <v>1</v>
      </c>
      <c r="CI92" s="22">
        <v>0</v>
      </c>
      <c r="CJ92" s="22">
        <v>0</v>
      </c>
      <c r="CK92" s="22">
        <v>0</v>
      </c>
      <c r="CL92" s="22">
        <v>0</v>
      </c>
      <c r="CM92" s="22">
        <v>0</v>
      </c>
      <c r="CN92" s="22">
        <v>0</v>
      </c>
      <c r="CO92" s="22">
        <v>0</v>
      </c>
      <c r="CP92" s="22">
        <v>0</v>
      </c>
      <c r="CQ92" s="22">
        <v>0</v>
      </c>
      <c r="CR92" s="22">
        <v>0</v>
      </c>
      <c r="CS92" s="12">
        <v>0</v>
      </c>
      <c r="CT92" s="19">
        <v>0</v>
      </c>
      <c r="CU92" s="22">
        <v>0</v>
      </c>
      <c r="CV92" s="22">
        <v>0</v>
      </c>
      <c r="CW92" s="22">
        <v>0</v>
      </c>
      <c r="CX92" s="22">
        <v>0</v>
      </c>
      <c r="CY92" s="22">
        <v>0</v>
      </c>
      <c r="CZ92" s="22">
        <v>0</v>
      </c>
      <c r="DA92" s="22">
        <v>0</v>
      </c>
      <c r="DB92" s="22">
        <v>0</v>
      </c>
      <c r="DC92" s="22">
        <v>0</v>
      </c>
      <c r="DD92" s="22">
        <v>0</v>
      </c>
      <c r="DE92" s="12">
        <v>0</v>
      </c>
      <c r="DF92" s="19">
        <v>0</v>
      </c>
      <c r="DG92" s="22">
        <v>0</v>
      </c>
      <c r="DH92" s="22">
        <v>0</v>
      </c>
      <c r="DI92" s="22">
        <v>0</v>
      </c>
      <c r="DJ92" s="22">
        <v>0</v>
      </c>
      <c r="DK92" s="22">
        <v>0</v>
      </c>
      <c r="DL92" s="22">
        <v>0</v>
      </c>
      <c r="DM92" s="22">
        <v>0</v>
      </c>
      <c r="DN92" s="22">
        <v>0</v>
      </c>
      <c r="DO92" s="22">
        <v>0</v>
      </c>
      <c r="DP92" s="22">
        <v>0</v>
      </c>
      <c r="DQ92" s="12">
        <v>0</v>
      </c>
      <c r="DR92" s="19">
        <v>0</v>
      </c>
      <c r="DS92" s="22">
        <v>0</v>
      </c>
      <c r="DT92" s="22">
        <v>0</v>
      </c>
      <c r="DU92" s="22">
        <v>0</v>
      </c>
      <c r="DV92" s="22">
        <v>0</v>
      </c>
      <c r="DW92" s="22">
        <v>0</v>
      </c>
      <c r="DX92" s="22">
        <v>0</v>
      </c>
      <c r="DY92" s="22">
        <v>0</v>
      </c>
      <c r="DZ92" s="22">
        <v>0</v>
      </c>
      <c r="EA92" s="22">
        <v>0</v>
      </c>
      <c r="EB92" s="22">
        <v>0</v>
      </c>
      <c r="EC92" s="12">
        <v>0</v>
      </c>
      <c r="ED92" s="12">
        <f t="shared" si="260"/>
        <v>1</v>
      </c>
      <c r="EF92" s="6">
        <f t="shared" si="261"/>
        <v>0</v>
      </c>
      <c r="EG92" s="19">
        <f t="shared" si="262"/>
        <v>0</v>
      </c>
      <c r="EH92" s="22">
        <f t="shared" si="263"/>
        <v>0</v>
      </c>
      <c r="EI92" s="22">
        <f t="shared" si="264"/>
        <v>0</v>
      </c>
      <c r="EJ92" s="12">
        <f t="shared" si="265"/>
        <v>0</v>
      </c>
      <c r="EK92" s="22">
        <f t="shared" si="266"/>
        <v>0</v>
      </c>
      <c r="EL92" s="22">
        <f t="shared" si="267"/>
        <v>0</v>
      </c>
      <c r="EM92" s="22">
        <f t="shared" si="268"/>
        <v>0</v>
      </c>
      <c r="EN92" s="22">
        <f t="shared" si="269"/>
        <v>0</v>
      </c>
      <c r="EO92" s="19">
        <f t="shared" si="298"/>
        <v>0</v>
      </c>
      <c r="EP92" s="22">
        <f t="shared" si="299"/>
        <v>0</v>
      </c>
      <c r="EQ92" s="22">
        <f t="shared" si="300"/>
        <v>0</v>
      </c>
      <c r="ER92" s="12">
        <f t="shared" si="301"/>
        <v>0</v>
      </c>
      <c r="ES92" s="90">
        <f t="shared" si="270"/>
        <v>0</v>
      </c>
      <c r="ET92" s="94">
        <f t="shared" si="271"/>
        <v>0</v>
      </c>
      <c r="EU92" s="94">
        <f t="shared" si="302"/>
        <v>0</v>
      </c>
      <c r="EV92" s="28">
        <f t="shared" si="303"/>
        <v>0</v>
      </c>
      <c r="EW92" s="90">
        <f t="shared" si="272"/>
        <v>0</v>
      </c>
      <c r="EX92" s="94">
        <f t="shared" si="273"/>
        <v>0</v>
      </c>
      <c r="EY92" s="94">
        <f t="shared" si="274"/>
        <v>0</v>
      </c>
      <c r="EZ92" s="28">
        <f t="shared" si="275"/>
        <v>0</v>
      </c>
      <c r="FA92" s="90">
        <f t="shared" si="304"/>
        <v>1</v>
      </c>
      <c r="FB92" s="94">
        <f t="shared" si="305"/>
        <v>0</v>
      </c>
      <c r="FC92" s="94">
        <f t="shared" si="306"/>
        <v>0</v>
      </c>
      <c r="FD92" s="28">
        <f t="shared" si="307"/>
        <v>0</v>
      </c>
      <c r="FE92" s="90">
        <f t="shared" si="276"/>
        <v>0</v>
      </c>
      <c r="FF92" s="94">
        <f t="shared" si="277"/>
        <v>0</v>
      </c>
      <c r="FG92" s="94">
        <f t="shared" si="278"/>
        <v>0</v>
      </c>
      <c r="FH92" s="28">
        <f t="shared" si="279"/>
        <v>0</v>
      </c>
      <c r="FI92" s="90">
        <f t="shared" si="280"/>
        <v>0</v>
      </c>
      <c r="FJ92" s="94">
        <f t="shared" si="281"/>
        <v>0</v>
      </c>
      <c r="FK92" s="94">
        <f t="shared" si="282"/>
        <v>0</v>
      </c>
      <c r="FL92" s="28">
        <f t="shared" si="283"/>
        <v>0</v>
      </c>
      <c r="FM92" s="90">
        <f t="shared" si="284"/>
        <v>0</v>
      </c>
      <c r="FN92" s="94">
        <f t="shared" si="285"/>
        <v>0</v>
      </c>
      <c r="FO92" s="94">
        <f t="shared" si="286"/>
        <v>0</v>
      </c>
      <c r="FP92" s="28">
        <f t="shared" si="287"/>
        <v>0</v>
      </c>
      <c r="FR92" s="125">
        <f>SUM(EF92:EF92)</f>
        <v>0</v>
      </c>
      <c r="FS92" s="156">
        <f>SUM(EG92:EJ92)</f>
        <v>0</v>
      </c>
      <c r="FT92" s="156">
        <f>SUM(EK92:EN92)</f>
        <v>0</v>
      </c>
      <c r="FU92" s="156">
        <f>SUM(EO92:ER92)</f>
        <v>0</v>
      </c>
      <c r="FV92" s="137">
        <f>SUM(ES92:EV92)</f>
        <v>0</v>
      </c>
      <c r="FW92" s="137">
        <f>SUM(EW92:EZ92)</f>
        <v>0</v>
      </c>
      <c r="FX92" s="22">
        <f>SUM(FA92:FD92)</f>
        <v>1</v>
      </c>
      <c r="FY92" s="22">
        <f>SUM(FE92:FH92)</f>
        <v>0</v>
      </c>
      <c r="FZ92" s="94">
        <f t="shared" si="296"/>
        <v>0</v>
      </c>
      <c r="GA92" s="28">
        <f t="shared" si="297"/>
        <v>0</v>
      </c>
    </row>
    <row r="93" spans="1:183">
      <c r="A93" s="220" t="s">
        <v>1082</v>
      </c>
      <c r="B93" s="76"/>
      <c r="C93">
        <v>0</v>
      </c>
      <c r="D93">
        <v>0</v>
      </c>
      <c r="E93">
        <v>0</v>
      </c>
      <c r="F93">
        <v>0</v>
      </c>
      <c r="G93">
        <v>0</v>
      </c>
      <c r="H93">
        <v>0</v>
      </c>
      <c r="I93">
        <v>0</v>
      </c>
      <c r="J93">
        <v>0</v>
      </c>
      <c r="K93">
        <v>0</v>
      </c>
      <c r="L93">
        <v>0</v>
      </c>
      <c r="M93">
        <v>0</v>
      </c>
      <c r="N93" s="19">
        <v>0</v>
      </c>
      <c r="O93" s="22">
        <v>0</v>
      </c>
      <c r="P93" s="22">
        <v>0</v>
      </c>
      <c r="Q93" s="22">
        <v>0</v>
      </c>
      <c r="R93" s="22">
        <v>0</v>
      </c>
      <c r="S93" s="22">
        <v>0</v>
      </c>
      <c r="T93" s="22">
        <v>0</v>
      </c>
      <c r="U93" s="22">
        <v>0</v>
      </c>
      <c r="V93" s="22">
        <v>0</v>
      </c>
      <c r="W93" s="22">
        <v>0</v>
      </c>
      <c r="X93" s="22">
        <v>2</v>
      </c>
      <c r="Y93" s="12">
        <v>1</v>
      </c>
      <c r="Z93">
        <v>0</v>
      </c>
      <c r="AA93">
        <v>3</v>
      </c>
      <c r="AB93">
        <v>0</v>
      </c>
      <c r="AC93">
        <v>0</v>
      </c>
      <c r="AD93">
        <v>0</v>
      </c>
      <c r="AE93">
        <v>0</v>
      </c>
      <c r="AF93">
        <v>2</v>
      </c>
      <c r="AG93">
        <v>0</v>
      </c>
      <c r="AH93">
        <v>0</v>
      </c>
      <c r="AI93">
        <v>0</v>
      </c>
      <c r="AJ93">
        <v>0</v>
      </c>
      <c r="AK93">
        <v>3</v>
      </c>
      <c r="AL93" s="19">
        <v>1</v>
      </c>
      <c r="AM93" s="22">
        <v>0</v>
      </c>
      <c r="AN93" s="22">
        <v>1</v>
      </c>
      <c r="AO93" s="22">
        <v>1</v>
      </c>
      <c r="AP93" s="22">
        <v>0</v>
      </c>
      <c r="AQ93" s="22">
        <v>1</v>
      </c>
      <c r="AR93" s="23">
        <v>6</v>
      </c>
      <c r="AS93" s="23">
        <v>0</v>
      </c>
      <c r="AT93" s="22">
        <v>0</v>
      </c>
      <c r="AU93" s="22">
        <v>0</v>
      </c>
      <c r="AV93" s="22">
        <v>2</v>
      </c>
      <c r="AW93" s="12">
        <v>0</v>
      </c>
      <c r="AX93" s="19">
        <v>0</v>
      </c>
      <c r="AY93" s="22">
        <v>0</v>
      </c>
      <c r="AZ93" s="22">
        <v>1</v>
      </c>
      <c r="BA93" s="22">
        <v>1</v>
      </c>
      <c r="BB93" s="22">
        <v>1</v>
      </c>
      <c r="BC93" s="22">
        <v>0</v>
      </c>
      <c r="BD93" s="22">
        <v>1</v>
      </c>
      <c r="BE93" s="22">
        <v>1</v>
      </c>
      <c r="BF93" s="22">
        <v>3</v>
      </c>
      <c r="BG93" s="22">
        <v>0</v>
      </c>
      <c r="BH93" s="22">
        <v>0</v>
      </c>
      <c r="BI93" s="12">
        <v>1</v>
      </c>
      <c r="BJ93">
        <v>0</v>
      </c>
      <c r="BK93">
        <v>2</v>
      </c>
      <c r="BL93">
        <v>0</v>
      </c>
      <c r="BM93">
        <v>3</v>
      </c>
      <c r="BN93">
        <v>0</v>
      </c>
      <c r="BO93">
        <v>1</v>
      </c>
      <c r="BP93">
        <v>0</v>
      </c>
      <c r="BQ93">
        <v>0</v>
      </c>
      <c r="BR93">
        <v>1</v>
      </c>
      <c r="BS93">
        <v>0</v>
      </c>
      <c r="BT93">
        <v>0</v>
      </c>
      <c r="BU93">
        <v>0</v>
      </c>
      <c r="BV93" s="19">
        <v>0</v>
      </c>
      <c r="BW93" s="22">
        <v>0</v>
      </c>
      <c r="BX93" s="22">
        <v>5</v>
      </c>
      <c r="BY93" s="22">
        <v>2</v>
      </c>
      <c r="BZ93" s="22">
        <v>2</v>
      </c>
      <c r="CA93" s="22">
        <v>0</v>
      </c>
      <c r="CB93" s="22">
        <v>0</v>
      </c>
      <c r="CC93" s="22">
        <v>0</v>
      </c>
      <c r="CD93" s="22">
        <v>1</v>
      </c>
      <c r="CE93" s="22">
        <v>0</v>
      </c>
      <c r="CF93" s="22">
        <v>0</v>
      </c>
      <c r="CG93" s="22">
        <v>0</v>
      </c>
      <c r="CH93" s="788">
        <v>1</v>
      </c>
      <c r="CI93" s="22">
        <v>0</v>
      </c>
      <c r="CJ93" s="22">
        <v>1</v>
      </c>
      <c r="CK93" s="22">
        <v>0</v>
      </c>
      <c r="CL93" s="22">
        <v>0</v>
      </c>
      <c r="CM93" s="22">
        <v>1</v>
      </c>
      <c r="CN93" s="22">
        <v>2</v>
      </c>
      <c r="CO93" s="22">
        <v>0</v>
      </c>
      <c r="CP93" s="22">
        <v>0</v>
      </c>
      <c r="CQ93" s="22">
        <v>1</v>
      </c>
      <c r="CR93" s="22">
        <v>1</v>
      </c>
      <c r="CS93" s="12">
        <v>0</v>
      </c>
      <c r="CT93" s="788">
        <v>0</v>
      </c>
      <c r="CU93" s="22">
        <v>0</v>
      </c>
      <c r="CV93" s="22">
        <v>0</v>
      </c>
      <c r="CW93" s="22">
        <v>0</v>
      </c>
      <c r="CX93" s="22">
        <v>0</v>
      </c>
      <c r="CY93" s="22">
        <v>0</v>
      </c>
      <c r="CZ93" s="22">
        <v>0</v>
      </c>
      <c r="DA93" s="22">
        <v>0</v>
      </c>
      <c r="DB93" s="22">
        <v>0</v>
      </c>
      <c r="DC93" s="22">
        <v>0</v>
      </c>
      <c r="DD93" s="22">
        <v>0</v>
      </c>
      <c r="DE93" s="12">
        <v>0</v>
      </c>
      <c r="DF93" s="788">
        <v>0</v>
      </c>
      <c r="DG93" s="22">
        <v>0</v>
      </c>
      <c r="DH93" s="22">
        <v>0</v>
      </c>
      <c r="DI93" s="22">
        <v>0</v>
      </c>
      <c r="DJ93" s="22">
        <v>0</v>
      </c>
      <c r="DK93" s="22">
        <v>0</v>
      </c>
      <c r="DL93" s="22">
        <v>0</v>
      </c>
      <c r="DM93" s="22">
        <v>0</v>
      </c>
      <c r="DN93" s="22">
        <v>0</v>
      </c>
      <c r="DO93" s="22">
        <v>0</v>
      </c>
      <c r="DP93" s="22">
        <v>0</v>
      </c>
      <c r="DQ93" s="12">
        <v>0</v>
      </c>
      <c r="DR93" s="788">
        <v>0</v>
      </c>
      <c r="DS93" s="22">
        <v>0</v>
      </c>
      <c r="DT93" s="22">
        <v>0</v>
      </c>
      <c r="DU93" s="22">
        <v>0</v>
      </c>
      <c r="DV93" s="22">
        <v>0</v>
      </c>
      <c r="DW93" s="22">
        <v>0</v>
      </c>
      <c r="DX93" s="22">
        <v>0</v>
      </c>
      <c r="DY93" s="22">
        <v>0</v>
      </c>
      <c r="DZ93" s="22">
        <v>0</v>
      </c>
      <c r="EA93" s="22">
        <v>0</v>
      </c>
      <c r="EB93" s="22">
        <v>0</v>
      </c>
      <c r="EC93" s="12">
        <v>0</v>
      </c>
      <c r="ED93" s="12">
        <f t="shared" si="260"/>
        <v>56</v>
      </c>
      <c r="EF93" s="6">
        <f t="shared" si="261"/>
        <v>3</v>
      </c>
      <c r="EG93" s="19">
        <f t="shared" si="262"/>
        <v>3</v>
      </c>
      <c r="EH93" s="22">
        <f t="shared" si="263"/>
        <v>0</v>
      </c>
      <c r="EI93" s="22">
        <f t="shared" si="264"/>
        <v>2</v>
      </c>
      <c r="EJ93" s="12">
        <f t="shared" si="265"/>
        <v>3</v>
      </c>
      <c r="EK93" s="22">
        <f t="shared" si="266"/>
        <v>2</v>
      </c>
      <c r="EL93" s="22">
        <f t="shared" si="267"/>
        <v>2</v>
      </c>
      <c r="EM93" s="22">
        <f t="shared" si="268"/>
        <v>6</v>
      </c>
      <c r="EN93" s="22">
        <f t="shared" si="269"/>
        <v>2</v>
      </c>
      <c r="EO93" s="19">
        <f t="shared" si="298"/>
        <v>1</v>
      </c>
      <c r="EP93" s="22">
        <f t="shared" si="299"/>
        <v>2</v>
      </c>
      <c r="EQ93" s="22">
        <f t="shared" si="300"/>
        <v>5</v>
      </c>
      <c r="ER93" s="12">
        <f t="shared" si="301"/>
        <v>1</v>
      </c>
      <c r="ES93" s="90">
        <f t="shared" si="270"/>
        <v>2</v>
      </c>
      <c r="ET93" s="94">
        <f t="shared" si="271"/>
        <v>4</v>
      </c>
      <c r="EU93" s="94">
        <f t="shared" si="302"/>
        <v>1</v>
      </c>
      <c r="EV93" s="28">
        <f t="shared" si="303"/>
        <v>0</v>
      </c>
      <c r="EW93" s="90">
        <f t="shared" si="272"/>
        <v>5</v>
      </c>
      <c r="EX93" s="94">
        <f t="shared" si="273"/>
        <v>4</v>
      </c>
      <c r="EY93" s="94">
        <f t="shared" si="274"/>
        <v>1</v>
      </c>
      <c r="EZ93" s="28">
        <f t="shared" si="275"/>
        <v>0</v>
      </c>
      <c r="FA93" s="90">
        <f t="shared" si="304"/>
        <v>2</v>
      </c>
      <c r="FB93" s="94">
        <f t="shared" si="305"/>
        <v>1</v>
      </c>
      <c r="FC93" s="94">
        <f t="shared" si="306"/>
        <v>2</v>
      </c>
      <c r="FD93" s="28">
        <f t="shared" si="307"/>
        <v>2</v>
      </c>
      <c r="FE93" s="90">
        <f t="shared" si="276"/>
        <v>0</v>
      </c>
      <c r="FF93" s="94">
        <f t="shared" si="277"/>
        <v>0</v>
      </c>
      <c r="FG93" s="94">
        <f t="shared" si="278"/>
        <v>0</v>
      </c>
      <c r="FH93" s="28">
        <f t="shared" si="279"/>
        <v>0</v>
      </c>
      <c r="FI93" s="90">
        <f t="shared" si="280"/>
        <v>0</v>
      </c>
      <c r="FJ93" s="94">
        <f t="shared" si="281"/>
        <v>0</v>
      </c>
      <c r="FK93" s="94">
        <f t="shared" si="282"/>
        <v>0</v>
      </c>
      <c r="FL93" s="28">
        <f t="shared" si="283"/>
        <v>0</v>
      </c>
      <c r="FM93" s="90">
        <f t="shared" si="284"/>
        <v>0</v>
      </c>
      <c r="FN93" s="94">
        <f t="shared" si="285"/>
        <v>0</v>
      </c>
      <c r="FO93" s="94">
        <f t="shared" si="286"/>
        <v>0</v>
      </c>
      <c r="FP93" s="28">
        <f t="shared" si="287"/>
        <v>0</v>
      </c>
      <c r="FR93" s="125">
        <f t="shared" si="288"/>
        <v>3</v>
      </c>
      <c r="FS93" s="156">
        <f t="shared" si="289"/>
        <v>8</v>
      </c>
      <c r="FT93" s="156">
        <f t="shared" si="290"/>
        <v>12</v>
      </c>
      <c r="FU93" s="156">
        <f t="shared" si="291"/>
        <v>9</v>
      </c>
      <c r="FV93" s="137">
        <f t="shared" si="292"/>
        <v>7</v>
      </c>
      <c r="FW93" s="137">
        <f t="shared" si="293"/>
        <v>10</v>
      </c>
      <c r="FX93" s="22">
        <f t="shared" si="294"/>
        <v>7</v>
      </c>
      <c r="FY93" s="22">
        <f t="shared" si="295"/>
        <v>0</v>
      </c>
      <c r="FZ93" s="94">
        <f t="shared" si="296"/>
        <v>0</v>
      </c>
      <c r="GA93" s="28">
        <f t="shared" si="297"/>
        <v>0</v>
      </c>
    </row>
    <row r="94" spans="1:183">
      <c r="A94" s="219" t="s">
        <v>973</v>
      </c>
      <c r="B94" s="76"/>
      <c r="C94">
        <v>0</v>
      </c>
      <c r="D94">
        <v>0</v>
      </c>
      <c r="E94">
        <v>0</v>
      </c>
      <c r="F94">
        <v>0</v>
      </c>
      <c r="G94">
        <v>0</v>
      </c>
      <c r="H94">
        <v>0</v>
      </c>
      <c r="I94">
        <v>0</v>
      </c>
      <c r="J94">
        <v>0</v>
      </c>
      <c r="K94">
        <v>0</v>
      </c>
      <c r="L94">
        <v>0</v>
      </c>
      <c r="M94">
        <v>0</v>
      </c>
      <c r="N94" s="19">
        <v>0</v>
      </c>
      <c r="O94" s="22">
        <v>0</v>
      </c>
      <c r="P94" s="22">
        <v>0</v>
      </c>
      <c r="Q94" s="22">
        <v>0</v>
      </c>
      <c r="R94" s="22">
        <v>0</v>
      </c>
      <c r="S94" s="22">
        <v>0</v>
      </c>
      <c r="T94" s="22">
        <v>0</v>
      </c>
      <c r="U94" s="22">
        <v>0</v>
      </c>
      <c r="V94" s="22">
        <v>0</v>
      </c>
      <c r="W94" s="22">
        <v>0</v>
      </c>
      <c r="X94" s="22">
        <v>0</v>
      </c>
      <c r="Y94" s="12">
        <v>0</v>
      </c>
      <c r="Z94">
        <v>0</v>
      </c>
      <c r="AA94">
        <v>0</v>
      </c>
      <c r="AB94">
        <v>0</v>
      </c>
      <c r="AC94">
        <v>0</v>
      </c>
      <c r="AD94">
        <v>0</v>
      </c>
      <c r="AE94">
        <v>0</v>
      </c>
      <c r="AF94">
        <v>0</v>
      </c>
      <c r="AG94">
        <v>0</v>
      </c>
      <c r="AH94">
        <v>0</v>
      </c>
      <c r="AI94">
        <v>0</v>
      </c>
      <c r="AJ94">
        <v>0</v>
      </c>
      <c r="AK94">
        <v>0</v>
      </c>
      <c r="AL94" s="19">
        <v>0</v>
      </c>
      <c r="AM94" s="22">
        <v>0</v>
      </c>
      <c r="AN94" s="22">
        <v>1</v>
      </c>
      <c r="AO94" s="22">
        <v>0</v>
      </c>
      <c r="AP94" s="22">
        <v>0</v>
      </c>
      <c r="AQ94" s="22">
        <v>0</v>
      </c>
      <c r="AR94" s="23">
        <v>0</v>
      </c>
      <c r="AS94" s="23">
        <v>0</v>
      </c>
      <c r="AT94" s="22">
        <v>0</v>
      </c>
      <c r="AU94" s="22">
        <v>0</v>
      </c>
      <c r="AV94" s="22">
        <v>0</v>
      </c>
      <c r="AW94" s="12">
        <v>0</v>
      </c>
      <c r="AX94" s="19">
        <v>0</v>
      </c>
      <c r="AY94" s="22">
        <v>0</v>
      </c>
      <c r="AZ94" s="22">
        <v>0</v>
      </c>
      <c r="BA94" s="22">
        <v>0</v>
      </c>
      <c r="BB94" s="22">
        <v>0</v>
      </c>
      <c r="BC94" s="22">
        <v>0</v>
      </c>
      <c r="BD94" s="22">
        <v>1</v>
      </c>
      <c r="BE94" s="22">
        <v>0</v>
      </c>
      <c r="BF94" s="22">
        <v>1</v>
      </c>
      <c r="BG94" s="22">
        <v>0</v>
      </c>
      <c r="BH94" s="22">
        <v>0</v>
      </c>
      <c r="BI94" s="12">
        <v>0</v>
      </c>
      <c r="BJ94">
        <v>0</v>
      </c>
      <c r="BK94">
        <v>0</v>
      </c>
      <c r="BL94">
        <v>0</v>
      </c>
      <c r="BM94">
        <v>0</v>
      </c>
      <c r="BN94">
        <v>1</v>
      </c>
      <c r="BO94">
        <v>0</v>
      </c>
      <c r="BP94">
        <v>0</v>
      </c>
      <c r="BQ94">
        <v>0</v>
      </c>
      <c r="BR94">
        <v>0</v>
      </c>
      <c r="BS94">
        <v>0</v>
      </c>
      <c r="BT94">
        <v>0</v>
      </c>
      <c r="BU94">
        <v>0</v>
      </c>
      <c r="BV94" s="19">
        <v>0</v>
      </c>
      <c r="BW94" s="22">
        <v>0</v>
      </c>
      <c r="BX94" s="22">
        <v>0</v>
      </c>
      <c r="BY94" s="22">
        <v>0</v>
      </c>
      <c r="BZ94" s="22">
        <v>0</v>
      </c>
      <c r="CA94" s="22">
        <v>0</v>
      </c>
      <c r="CB94" s="22">
        <v>0</v>
      </c>
      <c r="CC94" s="22">
        <v>0</v>
      </c>
      <c r="CD94" s="22">
        <v>0</v>
      </c>
      <c r="CE94" s="22">
        <v>0</v>
      </c>
      <c r="CF94" s="22">
        <v>0</v>
      </c>
      <c r="CG94" s="22">
        <v>0</v>
      </c>
      <c r="CH94" s="788">
        <v>0</v>
      </c>
      <c r="CI94" s="22">
        <v>0</v>
      </c>
      <c r="CJ94" s="22">
        <v>0</v>
      </c>
      <c r="CK94" s="22">
        <v>0</v>
      </c>
      <c r="CL94" s="22">
        <v>0</v>
      </c>
      <c r="CM94" s="22">
        <v>0</v>
      </c>
      <c r="CN94" s="22">
        <v>0</v>
      </c>
      <c r="CO94" s="22">
        <v>0</v>
      </c>
      <c r="CP94" s="22">
        <v>0</v>
      </c>
      <c r="CQ94" s="22">
        <v>0</v>
      </c>
      <c r="CR94" s="22">
        <v>0</v>
      </c>
      <c r="CS94" s="12">
        <v>1</v>
      </c>
      <c r="CT94" s="788">
        <v>1</v>
      </c>
      <c r="CU94" s="22">
        <v>0</v>
      </c>
      <c r="CV94" s="22">
        <v>0</v>
      </c>
      <c r="CW94" s="22">
        <v>0</v>
      </c>
      <c r="CX94" s="22">
        <v>0</v>
      </c>
      <c r="CY94" s="22">
        <v>0</v>
      </c>
      <c r="CZ94" s="22">
        <v>0</v>
      </c>
      <c r="DA94" s="22">
        <v>0</v>
      </c>
      <c r="DB94" s="22">
        <v>0</v>
      </c>
      <c r="DC94" s="22">
        <v>0</v>
      </c>
      <c r="DD94" s="22">
        <v>0</v>
      </c>
      <c r="DE94" s="12">
        <v>0</v>
      </c>
      <c r="DF94" s="788">
        <v>0</v>
      </c>
      <c r="DG94" s="22">
        <v>0</v>
      </c>
      <c r="DH94" s="22">
        <v>0</v>
      </c>
      <c r="DI94" s="22">
        <v>0</v>
      </c>
      <c r="DJ94" s="22">
        <v>0</v>
      </c>
      <c r="DK94" s="22">
        <v>0</v>
      </c>
      <c r="DL94" s="22">
        <v>0</v>
      </c>
      <c r="DM94" s="22">
        <v>0</v>
      </c>
      <c r="DN94" s="22">
        <v>0</v>
      </c>
      <c r="DO94" s="22">
        <v>0</v>
      </c>
      <c r="DP94" s="22">
        <v>0</v>
      </c>
      <c r="DQ94" s="12">
        <v>0</v>
      </c>
      <c r="DR94" s="788">
        <v>0</v>
      </c>
      <c r="DS94" s="22">
        <v>0</v>
      </c>
      <c r="DT94" s="22">
        <v>0</v>
      </c>
      <c r="DU94" s="22">
        <v>0</v>
      </c>
      <c r="DV94" s="22">
        <v>0</v>
      </c>
      <c r="DW94" s="22">
        <v>0</v>
      </c>
      <c r="DX94" s="22">
        <v>0</v>
      </c>
      <c r="DY94" s="22">
        <v>0</v>
      </c>
      <c r="DZ94" s="22">
        <v>0</v>
      </c>
      <c r="EA94" s="22">
        <v>0</v>
      </c>
      <c r="EB94" s="22">
        <v>0</v>
      </c>
      <c r="EC94" s="12">
        <v>0</v>
      </c>
      <c r="ED94" s="12">
        <f t="shared" si="260"/>
        <v>6</v>
      </c>
      <c r="EF94" s="6">
        <f t="shared" si="261"/>
        <v>0</v>
      </c>
      <c r="EG94" s="19">
        <f t="shared" si="262"/>
        <v>0</v>
      </c>
      <c r="EH94" s="22">
        <f t="shared" si="263"/>
        <v>0</v>
      </c>
      <c r="EI94" s="22">
        <f t="shared" si="264"/>
        <v>0</v>
      </c>
      <c r="EJ94" s="12">
        <f t="shared" si="265"/>
        <v>0</v>
      </c>
      <c r="EK94" s="22">
        <f t="shared" si="266"/>
        <v>1</v>
      </c>
      <c r="EL94" s="22">
        <f t="shared" si="267"/>
        <v>0</v>
      </c>
      <c r="EM94" s="22">
        <f t="shared" si="268"/>
        <v>0</v>
      </c>
      <c r="EN94" s="22">
        <f t="shared" si="269"/>
        <v>0</v>
      </c>
      <c r="EO94" s="19">
        <f t="shared" si="298"/>
        <v>0</v>
      </c>
      <c r="EP94" s="22">
        <f t="shared" si="299"/>
        <v>0</v>
      </c>
      <c r="EQ94" s="22">
        <f t="shared" si="300"/>
        <v>2</v>
      </c>
      <c r="ER94" s="12">
        <f t="shared" si="301"/>
        <v>0</v>
      </c>
      <c r="ES94" s="90">
        <f t="shared" si="270"/>
        <v>0</v>
      </c>
      <c r="ET94" s="94">
        <f t="shared" si="271"/>
        <v>1</v>
      </c>
      <c r="EU94" s="94">
        <f t="shared" si="302"/>
        <v>0</v>
      </c>
      <c r="EV94" s="28">
        <f t="shared" si="303"/>
        <v>0</v>
      </c>
      <c r="EW94" s="90">
        <f t="shared" si="272"/>
        <v>0</v>
      </c>
      <c r="EX94" s="94">
        <f t="shared" si="273"/>
        <v>0</v>
      </c>
      <c r="EY94" s="94">
        <f t="shared" si="274"/>
        <v>0</v>
      </c>
      <c r="EZ94" s="28">
        <f t="shared" si="275"/>
        <v>0</v>
      </c>
      <c r="FA94" s="90">
        <f t="shared" si="304"/>
        <v>0</v>
      </c>
      <c r="FB94" s="94">
        <f t="shared" si="305"/>
        <v>0</v>
      </c>
      <c r="FC94" s="94">
        <f t="shared" si="306"/>
        <v>0</v>
      </c>
      <c r="FD94" s="28">
        <f t="shared" si="307"/>
        <v>1</v>
      </c>
      <c r="FE94" s="90">
        <f t="shared" si="276"/>
        <v>1</v>
      </c>
      <c r="FF94" s="94">
        <f t="shared" si="277"/>
        <v>0</v>
      </c>
      <c r="FG94" s="94">
        <f t="shared" si="278"/>
        <v>0</v>
      </c>
      <c r="FH94" s="28">
        <f t="shared" si="279"/>
        <v>0</v>
      </c>
      <c r="FI94" s="90">
        <f t="shared" si="280"/>
        <v>0</v>
      </c>
      <c r="FJ94" s="94">
        <f t="shared" si="281"/>
        <v>0</v>
      </c>
      <c r="FK94" s="94">
        <f t="shared" si="282"/>
        <v>0</v>
      </c>
      <c r="FL94" s="28">
        <f t="shared" si="283"/>
        <v>0</v>
      </c>
      <c r="FM94" s="90">
        <f t="shared" si="284"/>
        <v>0</v>
      </c>
      <c r="FN94" s="94">
        <f t="shared" si="285"/>
        <v>0</v>
      </c>
      <c r="FO94" s="94">
        <f t="shared" si="286"/>
        <v>0</v>
      </c>
      <c r="FP94" s="28">
        <f t="shared" si="287"/>
        <v>0</v>
      </c>
      <c r="FR94" s="125">
        <f t="shared" si="288"/>
        <v>0</v>
      </c>
      <c r="FS94" s="156">
        <f t="shared" si="289"/>
        <v>0</v>
      </c>
      <c r="FT94" s="156">
        <f t="shared" si="290"/>
        <v>1</v>
      </c>
      <c r="FU94" s="156">
        <f t="shared" si="291"/>
        <v>2</v>
      </c>
      <c r="FV94" s="137">
        <f t="shared" si="292"/>
        <v>1</v>
      </c>
      <c r="FW94" s="137">
        <f t="shared" si="293"/>
        <v>0</v>
      </c>
      <c r="FX94" s="22">
        <f t="shared" si="294"/>
        <v>1</v>
      </c>
      <c r="FY94" s="22">
        <f t="shared" si="295"/>
        <v>1</v>
      </c>
      <c r="FZ94" s="94">
        <f t="shared" si="296"/>
        <v>0</v>
      </c>
      <c r="GA94" s="28">
        <f t="shared" si="297"/>
        <v>0</v>
      </c>
    </row>
    <row r="95" spans="1:183">
      <c r="A95" s="136" t="s">
        <v>2399</v>
      </c>
      <c r="B95" s="76"/>
      <c r="C95">
        <v>0</v>
      </c>
      <c r="D95">
        <v>0</v>
      </c>
      <c r="E95">
        <v>0</v>
      </c>
      <c r="F95">
        <v>0</v>
      </c>
      <c r="G95">
        <v>0</v>
      </c>
      <c r="H95">
        <v>0</v>
      </c>
      <c r="I95">
        <v>0</v>
      </c>
      <c r="J95">
        <v>0</v>
      </c>
      <c r="K95">
        <v>0</v>
      </c>
      <c r="L95">
        <v>0</v>
      </c>
      <c r="M95">
        <v>0</v>
      </c>
      <c r="N95" s="19">
        <v>0</v>
      </c>
      <c r="O95" s="22">
        <v>0</v>
      </c>
      <c r="P95" s="22">
        <v>0</v>
      </c>
      <c r="Q95" s="22">
        <v>0</v>
      </c>
      <c r="R95" s="22">
        <v>0</v>
      </c>
      <c r="S95" s="22">
        <v>0</v>
      </c>
      <c r="T95" s="22">
        <v>0</v>
      </c>
      <c r="U95" s="22">
        <v>0</v>
      </c>
      <c r="V95" s="22">
        <v>0</v>
      </c>
      <c r="W95" s="22">
        <v>0</v>
      </c>
      <c r="X95" s="22">
        <v>0</v>
      </c>
      <c r="Y95" s="12">
        <v>0</v>
      </c>
      <c r="Z95">
        <v>0</v>
      </c>
      <c r="AA95">
        <v>0</v>
      </c>
      <c r="AB95">
        <v>0</v>
      </c>
      <c r="AC95">
        <v>0</v>
      </c>
      <c r="AD95">
        <v>0</v>
      </c>
      <c r="AE95">
        <v>0</v>
      </c>
      <c r="AF95">
        <v>0</v>
      </c>
      <c r="AG95">
        <v>0</v>
      </c>
      <c r="AH95">
        <v>0</v>
      </c>
      <c r="AI95">
        <v>0</v>
      </c>
      <c r="AJ95">
        <v>0</v>
      </c>
      <c r="AK95">
        <v>0</v>
      </c>
      <c r="AL95" s="19">
        <v>0</v>
      </c>
      <c r="AM95" s="22">
        <v>0</v>
      </c>
      <c r="AN95" s="22">
        <v>0</v>
      </c>
      <c r="AO95" s="22">
        <v>1</v>
      </c>
      <c r="AP95" s="22">
        <v>0</v>
      </c>
      <c r="AQ95" s="22">
        <v>0</v>
      </c>
      <c r="AR95" s="23">
        <v>0</v>
      </c>
      <c r="AS95" s="23">
        <v>0</v>
      </c>
      <c r="AT95" s="22">
        <v>0</v>
      </c>
      <c r="AU95" s="22">
        <v>0</v>
      </c>
      <c r="AV95" s="22">
        <v>0</v>
      </c>
      <c r="AW95" s="12">
        <v>0</v>
      </c>
      <c r="AX95" s="19">
        <v>0</v>
      </c>
      <c r="AY95" s="22">
        <v>0</v>
      </c>
      <c r="AZ95" s="22">
        <v>0</v>
      </c>
      <c r="BA95" s="22">
        <v>0</v>
      </c>
      <c r="BB95" s="22">
        <v>0</v>
      </c>
      <c r="BC95" s="22">
        <v>0</v>
      </c>
      <c r="BD95" s="22">
        <v>0</v>
      </c>
      <c r="BE95" s="22">
        <v>0</v>
      </c>
      <c r="BF95" s="22">
        <v>0</v>
      </c>
      <c r="BG95" s="22">
        <v>0</v>
      </c>
      <c r="BH95" s="22">
        <v>0</v>
      </c>
      <c r="BI95" s="12">
        <v>0</v>
      </c>
      <c r="BJ95">
        <v>0</v>
      </c>
      <c r="BK95">
        <v>0</v>
      </c>
      <c r="BL95">
        <v>0</v>
      </c>
      <c r="BM95">
        <v>0</v>
      </c>
      <c r="BN95">
        <v>0</v>
      </c>
      <c r="BO95">
        <v>0</v>
      </c>
      <c r="BP95">
        <v>0</v>
      </c>
      <c r="BQ95">
        <v>0</v>
      </c>
      <c r="BR95">
        <v>0</v>
      </c>
      <c r="BS95">
        <v>0</v>
      </c>
      <c r="BT95">
        <v>0</v>
      </c>
      <c r="BU95">
        <v>0</v>
      </c>
      <c r="BV95" s="19">
        <v>0</v>
      </c>
      <c r="BW95" s="22">
        <v>0</v>
      </c>
      <c r="BX95" s="22">
        <v>0</v>
      </c>
      <c r="BY95" s="22">
        <v>0</v>
      </c>
      <c r="BZ95" s="22">
        <v>0</v>
      </c>
      <c r="CA95" s="22">
        <v>0</v>
      </c>
      <c r="CB95" s="22">
        <v>0</v>
      </c>
      <c r="CC95" s="22">
        <v>0</v>
      </c>
      <c r="CD95" s="22">
        <v>0</v>
      </c>
      <c r="CE95" s="22">
        <v>0</v>
      </c>
      <c r="CF95" s="22">
        <v>0</v>
      </c>
      <c r="CG95" s="22">
        <v>0</v>
      </c>
      <c r="CH95" s="788">
        <v>0</v>
      </c>
      <c r="CI95" s="22">
        <v>0</v>
      </c>
      <c r="CJ95" s="22">
        <v>0</v>
      </c>
      <c r="CK95" s="22">
        <v>0</v>
      </c>
      <c r="CL95" s="22">
        <v>0</v>
      </c>
      <c r="CM95" s="22">
        <v>0</v>
      </c>
      <c r="CN95" s="22">
        <v>0</v>
      </c>
      <c r="CO95" s="22">
        <v>0</v>
      </c>
      <c r="CP95" s="22">
        <v>0</v>
      </c>
      <c r="CQ95" s="22">
        <v>0</v>
      </c>
      <c r="CR95" s="22">
        <v>0</v>
      </c>
      <c r="CS95" s="12">
        <v>0</v>
      </c>
      <c r="CT95" s="788">
        <v>0</v>
      </c>
      <c r="CU95" s="22">
        <v>0</v>
      </c>
      <c r="CV95" s="22">
        <v>0</v>
      </c>
      <c r="CW95" s="22">
        <v>0</v>
      </c>
      <c r="CX95" s="22">
        <v>0</v>
      </c>
      <c r="CY95" s="22">
        <v>0</v>
      </c>
      <c r="CZ95" s="22">
        <v>0</v>
      </c>
      <c r="DA95" s="22">
        <v>0</v>
      </c>
      <c r="DB95" s="22">
        <v>0</v>
      </c>
      <c r="DC95" s="22">
        <v>0</v>
      </c>
      <c r="DD95" s="22">
        <v>0</v>
      </c>
      <c r="DE95" s="12">
        <v>0</v>
      </c>
      <c r="DF95" s="788">
        <v>0</v>
      </c>
      <c r="DG95" s="22">
        <v>0</v>
      </c>
      <c r="DH95" s="22">
        <v>0</v>
      </c>
      <c r="DI95" s="22">
        <v>0</v>
      </c>
      <c r="DJ95" s="22">
        <v>0</v>
      </c>
      <c r="DK95" s="22">
        <v>0</v>
      </c>
      <c r="DL95" s="22">
        <v>0</v>
      </c>
      <c r="DM95" s="22">
        <v>0</v>
      </c>
      <c r="DN95" s="22">
        <v>0</v>
      </c>
      <c r="DO95" s="22">
        <v>0</v>
      </c>
      <c r="DP95" s="22">
        <v>0</v>
      </c>
      <c r="DQ95" s="12">
        <v>0</v>
      </c>
      <c r="DR95" s="788">
        <v>0</v>
      </c>
      <c r="DS95" s="22">
        <v>0</v>
      </c>
      <c r="DT95" s="22">
        <v>0</v>
      </c>
      <c r="DU95" s="22">
        <v>0</v>
      </c>
      <c r="DV95" s="22">
        <v>0</v>
      </c>
      <c r="DW95" s="22">
        <v>0</v>
      </c>
      <c r="DX95" s="22">
        <v>0</v>
      </c>
      <c r="DY95" s="22">
        <v>0</v>
      </c>
      <c r="DZ95" s="22">
        <v>0</v>
      </c>
      <c r="EA95" s="22">
        <v>0</v>
      </c>
      <c r="EB95" s="22">
        <v>0</v>
      </c>
      <c r="EC95" s="12">
        <v>0</v>
      </c>
      <c r="ED95" s="12">
        <f t="shared" si="260"/>
        <v>1</v>
      </c>
      <c r="EF95" s="6">
        <f t="shared" si="261"/>
        <v>0</v>
      </c>
      <c r="EG95" s="19">
        <f t="shared" si="262"/>
        <v>0</v>
      </c>
      <c r="EH95" s="22">
        <f t="shared" si="263"/>
        <v>0</v>
      </c>
      <c r="EI95" s="22">
        <f t="shared" si="264"/>
        <v>0</v>
      </c>
      <c r="EJ95" s="12">
        <f t="shared" si="265"/>
        <v>0</v>
      </c>
      <c r="EK95" s="22">
        <f t="shared" si="266"/>
        <v>0</v>
      </c>
      <c r="EL95" s="22">
        <f t="shared" si="267"/>
        <v>1</v>
      </c>
      <c r="EM95" s="22">
        <f t="shared" si="268"/>
        <v>0</v>
      </c>
      <c r="EN95" s="22">
        <f t="shared" si="269"/>
        <v>0</v>
      </c>
      <c r="EO95" s="19">
        <f t="shared" si="298"/>
        <v>0</v>
      </c>
      <c r="EP95" s="22">
        <f t="shared" si="299"/>
        <v>0</v>
      </c>
      <c r="EQ95" s="22">
        <f t="shared" si="300"/>
        <v>0</v>
      </c>
      <c r="ER95" s="12">
        <f t="shared" si="301"/>
        <v>0</v>
      </c>
      <c r="ES95" s="90">
        <f t="shared" si="270"/>
        <v>0</v>
      </c>
      <c r="ET95" s="94">
        <f t="shared" si="271"/>
        <v>0</v>
      </c>
      <c r="EU95" s="94">
        <f t="shared" si="302"/>
        <v>0</v>
      </c>
      <c r="EV95" s="28">
        <f t="shared" si="303"/>
        <v>0</v>
      </c>
      <c r="EW95" s="90">
        <f t="shared" si="272"/>
        <v>0</v>
      </c>
      <c r="EX95" s="94">
        <f t="shared" si="273"/>
        <v>0</v>
      </c>
      <c r="EY95" s="94">
        <f t="shared" si="274"/>
        <v>0</v>
      </c>
      <c r="EZ95" s="28">
        <f t="shared" si="275"/>
        <v>0</v>
      </c>
      <c r="FA95" s="90">
        <f t="shared" si="304"/>
        <v>0</v>
      </c>
      <c r="FB95" s="94">
        <f t="shared" si="305"/>
        <v>0</v>
      </c>
      <c r="FC95" s="94">
        <f t="shared" si="306"/>
        <v>0</v>
      </c>
      <c r="FD95" s="28">
        <f t="shared" si="307"/>
        <v>0</v>
      </c>
      <c r="FE95" s="90">
        <f t="shared" si="276"/>
        <v>0</v>
      </c>
      <c r="FF95" s="94">
        <f t="shared" si="277"/>
        <v>0</v>
      </c>
      <c r="FG95" s="94">
        <f t="shared" si="278"/>
        <v>0</v>
      </c>
      <c r="FH95" s="28">
        <f t="shared" si="279"/>
        <v>0</v>
      </c>
      <c r="FI95" s="90">
        <f t="shared" si="280"/>
        <v>0</v>
      </c>
      <c r="FJ95" s="94">
        <f t="shared" si="281"/>
        <v>0</v>
      </c>
      <c r="FK95" s="94">
        <f t="shared" si="282"/>
        <v>0</v>
      </c>
      <c r="FL95" s="28">
        <f t="shared" si="283"/>
        <v>0</v>
      </c>
      <c r="FM95" s="90">
        <f t="shared" si="284"/>
        <v>0</v>
      </c>
      <c r="FN95" s="94">
        <f t="shared" si="285"/>
        <v>0</v>
      </c>
      <c r="FO95" s="94">
        <f t="shared" si="286"/>
        <v>0</v>
      </c>
      <c r="FP95" s="28">
        <f t="shared" si="287"/>
        <v>0</v>
      </c>
      <c r="FR95" s="125">
        <f t="shared" si="288"/>
        <v>0</v>
      </c>
      <c r="FS95" s="156">
        <f t="shared" si="289"/>
        <v>0</v>
      </c>
      <c r="FT95" s="156">
        <f t="shared" si="290"/>
        <v>1</v>
      </c>
      <c r="FU95" s="156">
        <f t="shared" si="291"/>
        <v>0</v>
      </c>
      <c r="FV95" s="137">
        <f t="shared" si="292"/>
        <v>0</v>
      </c>
      <c r="FW95" s="137">
        <f t="shared" si="293"/>
        <v>0</v>
      </c>
      <c r="FX95" s="22">
        <f t="shared" si="294"/>
        <v>0</v>
      </c>
      <c r="FY95" s="22">
        <f t="shared" si="295"/>
        <v>0</v>
      </c>
      <c r="FZ95" s="94">
        <f t="shared" si="296"/>
        <v>0</v>
      </c>
      <c r="GA95" s="28">
        <f t="shared" si="297"/>
        <v>0</v>
      </c>
    </row>
    <row r="96" spans="1:183">
      <c r="A96" s="136" t="s">
        <v>845</v>
      </c>
      <c r="B96" s="76"/>
      <c r="N96" s="19">
        <v>0</v>
      </c>
      <c r="O96" s="22">
        <v>0</v>
      </c>
      <c r="P96" s="22">
        <v>0</v>
      </c>
      <c r="Q96" s="22">
        <v>0</v>
      </c>
      <c r="R96" s="22">
        <v>0</v>
      </c>
      <c r="S96" s="22">
        <v>0</v>
      </c>
      <c r="T96" s="22">
        <v>0</v>
      </c>
      <c r="U96" s="22">
        <v>0</v>
      </c>
      <c r="V96" s="22">
        <v>0</v>
      </c>
      <c r="W96" s="22">
        <v>0</v>
      </c>
      <c r="X96" s="22">
        <v>0</v>
      </c>
      <c r="Y96" s="12">
        <v>0</v>
      </c>
      <c r="Z96">
        <v>0</v>
      </c>
      <c r="AA96">
        <v>1</v>
      </c>
      <c r="AB96">
        <v>1</v>
      </c>
      <c r="AC96">
        <v>0</v>
      </c>
      <c r="AD96">
        <v>1</v>
      </c>
      <c r="AE96">
        <v>1</v>
      </c>
      <c r="AF96">
        <v>0</v>
      </c>
      <c r="AG96">
        <v>0</v>
      </c>
      <c r="AH96">
        <v>4</v>
      </c>
      <c r="AI96">
        <v>0</v>
      </c>
      <c r="AJ96">
        <v>2</v>
      </c>
      <c r="AK96">
        <v>1</v>
      </c>
      <c r="AL96" s="19">
        <v>0</v>
      </c>
      <c r="AM96" s="22">
        <v>0</v>
      </c>
      <c r="AN96" s="22">
        <v>0</v>
      </c>
      <c r="AO96" s="22">
        <v>1</v>
      </c>
      <c r="AP96" s="22">
        <v>0</v>
      </c>
      <c r="AQ96" s="22">
        <v>0</v>
      </c>
      <c r="AR96" s="23">
        <v>2</v>
      </c>
      <c r="AS96" s="23">
        <v>2</v>
      </c>
      <c r="AT96" s="22">
        <v>0</v>
      </c>
      <c r="AU96" s="22">
        <v>0</v>
      </c>
      <c r="AV96" s="22">
        <v>0</v>
      </c>
      <c r="AW96" s="12">
        <v>0</v>
      </c>
      <c r="AX96" s="19">
        <v>0</v>
      </c>
      <c r="AY96" s="22">
        <v>0</v>
      </c>
      <c r="AZ96" s="22">
        <v>0</v>
      </c>
      <c r="BA96" s="22">
        <v>0</v>
      </c>
      <c r="BB96" s="22">
        <v>0</v>
      </c>
      <c r="BC96" s="22">
        <v>0</v>
      </c>
      <c r="BD96" s="22">
        <v>0</v>
      </c>
      <c r="BE96" s="22">
        <v>1</v>
      </c>
      <c r="BF96" s="22">
        <v>0</v>
      </c>
      <c r="BG96" s="22">
        <v>0</v>
      </c>
      <c r="BH96" s="22">
        <v>0</v>
      </c>
      <c r="BI96" s="12">
        <v>1</v>
      </c>
      <c r="BJ96">
        <v>1</v>
      </c>
      <c r="BK96">
        <v>0</v>
      </c>
      <c r="BL96">
        <v>1</v>
      </c>
      <c r="BM96">
        <v>0</v>
      </c>
      <c r="BN96">
        <v>0</v>
      </c>
      <c r="BO96">
        <v>0</v>
      </c>
      <c r="BP96">
        <v>0</v>
      </c>
      <c r="BQ96">
        <v>0</v>
      </c>
      <c r="BR96">
        <v>0</v>
      </c>
      <c r="BS96">
        <v>0</v>
      </c>
      <c r="BT96">
        <v>0</v>
      </c>
      <c r="BU96">
        <v>0</v>
      </c>
      <c r="BV96" s="19">
        <v>0</v>
      </c>
      <c r="BW96" s="22">
        <v>0</v>
      </c>
      <c r="BX96" s="22">
        <v>0</v>
      </c>
      <c r="BY96" s="22">
        <v>1</v>
      </c>
      <c r="BZ96" s="22">
        <v>1</v>
      </c>
      <c r="CA96" s="22">
        <v>0</v>
      </c>
      <c r="CB96" s="22">
        <v>0</v>
      </c>
      <c r="CC96" s="22">
        <v>0</v>
      </c>
      <c r="CD96" s="22">
        <v>0</v>
      </c>
      <c r="CE96" s="22">
        <v>2</v>
      </c>
      <c r="CF96" s="22">
        <v>0</v>
      </c>
      <c r="CG96" s="22">
        <v>0</v>
      </c>
      <c r="CH96" s="788">
        <v>0</v>
      </c>
      <c r="CI96" s="22">
        <v>0</v>
      </c>
      <c r="CJ96" s="22">
        <v>2</v>
      </c>
      <c r="CK96" s="22">
        <v>0</v>
      </c>
      <c r="CL96" s="22">
        <v>0</v>
      </c>
      <c r="CM96" s="22">
        <v>0</v>
      </c>
      <c r="CN96" s="22">
        <v>1</v>
      </c>
      <c r="CO96" s="22">
        <v>0</v>
      </c>
      <c r="CP96" s="22">
        <v>0</v>
      </c>
      <c r="CQ96" s="22">
        <v>1</v>
      </c>
      <c r="CR96" s="22">
        <v>0</v>
      </c>
      <c r="CS96" s="12">
        <v>4</v>
      </c>
      <c r="CT96" s="788">
        <v>3</v>
      </c>
      <c r="CU96" s="22">
        <v>0</v>
      </c>
      <c r="CV96" s="22">
        <v>0</v>
      </c>
      <c r="CW96" s="22">
        <v>0</v>
      </c>
      <c r="CX96" s="22">
        <v>0</v>
      </c>
      <c r="CY96" s="22">
        <v>0</v>
      </c>
      <c r="CZ96" s="22">
        <v>0</v>
      </c>
      <c r="DA96" s="22">
        <v>0</v>
      </c>
      <c r="DB96" s="22">
        <v>0</v>
      </c>
      <c r="DC96" s="22">
        <v>0</v>
      </c>
      <c r="DD96" s="22">
        <v>0</v>
      </c>
      <c r="DE96" s="12">
        <v>0</v>
      </c>
      <c r="DF96" s="788">
        <v>0</v>
      </c>
      <c r="DG96" s="22">
        <v>0</v>
      </c>
      <c r="DH96" s="22">
        <v>0</v>
      </c>
      <c r="DI96" s="22">
        <v>0</v>
      </c>
      <c r="DJ96" s="22">
        <v>0</v>
      </c>
      <c r="DK96" s="22">
        <v>0</v>
      </c>
      <c r="DL96" s="22">
        <v>0</v>
      </c>
      <c r="DM96" s="22">
        <v>0</v>
      </c>
      <c r="DN96" s="22">
        <v>0</v>
      </c>
      <c r="DO96" s="22">
        <v>0</v>
      </c>
      <c r="DP96" s="22">
        <v>0</v>
      </c>
      <c r="DQ96" s="12">
        <v>0</v>
      </c>
      <c r="DR96" s="788">
        <v>0</v>
      </c>
      <c r="DS96" s="22">
        <v>0</v>
      </c>
      <c r="DT96" s="22">
        <v>0</v>
      </c>
      <c r="DU96" s="22">
        <v>0</v>
      </c>
      <c r="DV96" s="22">
        <v>0</v>
      </c>
      <c r="DW96" s="22">
        <v>0</v>
      </c>
      <c r="DX96" s="22">
        <v>0</v>
      </c>
      <c r="DY96" s="22">
        <v>0</v>
      </c>
      <c r="DZ96" s="22">
        <v>0</v>
      </c>
      <c r="EA96" s="22">
        <v>0</v>
      </c>
      <c r="EB96" s="22">
        <v>0</v>
      </c>
      <c r="EC96" s="12">
        <v>0</v>
      </c>
      <c r="ED96" s="12">
        <f t="shared" si="260"/>
        <v>35</v>
      </c>
      <c r="EF96" s="6">
        <f>+W96+X96+Y96</f>
        <v>0</v>
      </c>
      <c r="EG96" s="19">
        <f>+Z96+AA96+AB96</f>
        <v>2</v>
      </c>
      <c r="EH96" s="22">
        <f>+AC96+AD96+AE96</f>
        <v>2</v>
      </c>
      <c r="EI96" s="22">
        <f>+AF96+AG96+AH96</f>
        <v>4</v>
      </c>
      <c r="EJ96" s="12">
        <f>+AI96+AJ96+AK96</f>
        <v>3</v>
      </c>
      <c r="EK96" s="22">
        <f>+AL96+AM96+AN96</f>
        <v>0</v>
      </c>
      <c r="EL96" s="22">
        <f>+AO96+AP96+AQ96</f>
        <v>1</v>
      </c>
      <c r="EM96" s="22">
        <f>+AR96+AS96+AT96</f>
        <v>4</v>
      </c>
      <c r="EN96" s="22">
        <f>+AU96+AV96+AW96</f>
        <v>0</v>
      </c>
      <c r="EO96" s="19">
        <f t="shared" si="298"/>
        <v>0</v>
      </c>
      <c r="EP96" s="22">
        <f t="shared" si="299"/>
        <v>0</v>
      </c>
      <c r="EQ96" s="22">
        <f t="shared" si="300"/>
        <v>1</v>
      </c>
      <c r="ER96" s="12">
        <f t="shared" si="301"/>
        <v>1</v>
      </c>
      <c r="ES96" s="90">
        <f t="shared" si="270"/>
        <v>2</v>
      </c>
      <c r="ET96" s="94">
        <f t="shared" si="271"/>
        <v>0</v>
      </c>
      <c r="EU96" s="94">
        <f t="shared" si="302"/>
        <v>0</v>
      </c>
      <c r="EV96" s="28">
        <f t="shared" si="303"/>
        <v>0</v>
      </c>
      <c r="EW96" s="90">
        <f t="shared" si="272"/>
        <v>0</v>
      </c>
      <c r="EX96" s="94">
        <f t="shared" si="273"/>
        <v>2</v>
      </c>
      <c r="EY96" s="94">
        <f t="shared" si="274"/>
        <v>0</v>
      </c>
      <c r="EZ96" s="28">
        <f t="shared" si="275"/>
        <v>2</v>
      </c>
      <c r="FA96" s="90">
        <f t="shared" si="304"/>
        <v>2</v>
      </c>
      <c r="FB96" s="94">
        <f t="shared" si="305"/>
        <v>0</v>
      </c>
      <c r="FC96" s="94">
        <f t="shared" si="306"/>
        <v>1</v>
      </c>
      <c r="FD96" s="28">
        <f t="shared" si="307"/>
        <v>5</v>
      </c>
      <c r="FE96" s="90">
        <f t="shared" si="276"/>
        <v>3</v>
      </c>
      <c r="FF96" s="94">
        <f t="shared" si="277"/>
        <v>0</v>
      </c>
      <c r="FG96" s="94">
        <f t="shared" si="278"/>
        <v>0</v>
      </c>
      <c r="FH96" s="28">
        <f t="shared" si="279"/>
        <v>0</v>
      </c>
      <c r="FI96" s="90">
        <f t="shared" si="280"/>
        <v>0</v>
      </c>
      <c r="FJ96" s="94">
        <f t="shared" si="281"/>
        <v>0</v>
      </c>
      <c r="FK96" s="94">
        <f t="shared" si="282"/>
        <v>0</v>
      </c>
      <c r="FL96" s="28">
        <f t="shared" si="283"/>
        <v>0</v>
      </c>
      <c r="FM96" s="90">
        <f t="shared" si="284"/>
        <v>0</v>
      </c>
      <c r="FN96" s="94">
        <f t="shared" si="285"/>
        <v>0</v>
      </c>
      <c r="FO96" s="94">
        <f t="shared" si="286"/>
        <v>0</v>
      </c>
      <c r="FP96" s="28">
        <f t="shared" si="287"/>
        <v>0</v>
      </c>
      <c r="FR96" s="125">
        <f t="shared" si="288"/>
        <v>0</v>
      </c>
      <c r="FS96" s="156">
        <f t="shared" si="289"/>
        <v>11</v>
      </c>
      <c r="FT96" s="156">
        <f t="shared" si="290"/>
        <v>5</v>
      </c>
      <c r="FU96" s="156">
        <f t="shared" si="291"/>
        <v>2</v>
      </c>
      <c r="FV96" s="137">
        <f t="shared" si="292"/>
        <v>2</v>
      </c>
      <c r="FW96" s="137">
        <f t="shared" si="293"/>
        <v>4</v>
      </c>
      <c r="FX96" s="22">
        <f t="shared" si="294"/>
        <v>8</v>
      </c>
      <c r="FY96" s="22">
        <f t="shared" si="295"/>
        <v>3</v>
      </c>
      <c r="FZ96" s="94">
        <f t="shared" si="296"/>
        <v>0</v>
      </c>
      <c r="GA96" s="28">
        <f t="shared" si="297"/>
        <v>0</v>
      </c>
    </row>
    <row r="97" spans="1:183">
      <c r="A97" s="136" t="s">
        <v>1467</v>
      </c>
      <c r="B97" s="76"/>
      <c r="C97">
        <v>0</v>
      </c>
      <c r="D97">
        <v>0</v>
      </c>
      <c r="E97">
        <v>0</v>
      </c>
      <c r="F97">
        <v>0</v>
      </c>
      <c r="G97">
        <v>0</v>
      </c>
      <c r="H97">
        <v>0</v>
      </c>
      <c r="I97">
        <v>0</v>
      </c>
      <c r="J97">
        <v>0</v>
      </c>
      <c r="K97">
        <v>0</v>
      </c>
      <c r="L97">
        <v>0</v>
      </c>
      <c r="M97">
        <v>0</v>
      </c>
      <c r="N97" s="19">
        <v>0</v>
      </c>
      <c r="O97" s="22">
        <v>0</v>
      </c>
      <c r="P97" s="22">
        <v>0</v>
      </c>
      <c r="Q97" s="22">
        <v>0</v>
      </c>
      <c r="R97" s="22">
        <v>0</v>
      </c>
      <c r="S97" s="22">
        <v>0</v>
      </c>
      <c r="T97" s="22">
        <v>0</v>
      </c>
      <c r="U97" s="22">
        <v>0</v>
      </c>
      <c r="V97" s="22">
        <v>0</v>
      </c>
      <c r="W97" s="22">
        <v>0</v>
      </c>
      <c r="X97" s="22">
        <v>2</v>
      </c>
      <c r="Y97" s="12">
        <v>0</v>
      </c>
      <c r="Z97">
        <v>1</v>
      </c>
      <c r="AA97">
        <v>0</v>
      </c>
      <c r="AB97">
        <v>0</v>
      </c>
      <c r="AC97">
        <v>0</v>
      </c>
      <c r="AD97">
        <v>0</v>
      </c>
      <c r="AE97">
        <v>0</v>
      </c>
      <c r="AF97">
        <v>0</v>
      </c>
      <c r="AG97">
        <v>0</v>
      </c>
      <c r="AH97">
        <v>0</v>
      </c>
      <c r="AI97">
        <v>1</v>
      </c>
      <c r="AJ97">
        <v>0</v>
      </c>
      <c r="AK97">
        <v>0</v>
      </c>
      <c r="AL97" s="19">
        <v>1</v>
      </c>
      <c r="AM97" s="22">
        <v>0</v>
      </c>
      <c r="AN97" s="22">
        <v>0</v>
      </c>
      <c r="AO97" s="22">
        <v>0</v>
      </c>
      <c r="AP97" s="22">
        <v>3</v>
      </c>
      <c r="AQ97" s="22">
        <v>0</v>
      </c>
      <c r="AR97" s="23">
        <v>0</v>
      </c>
      <c r="AS97" s="23">
        <v>0</v>
      </c>
      <c r="AT97" s="22">
        <v>0</v>
      </c>
      <c r="AU97" s="22">
        <v>0</v>
      </c>
      <c r="AV97" s="22">
        <v>0</v>
      </c>
      <c r="AW97" s="12">
        <v>0</v>
      </c>
      <c r="AX97" s="19">
        <v>0</v>
      </c>
      <c r="AY97" s="22">
        <v>0</v>
      </c>
      <c r="AZ97" s="22">
        <v>0</v>
      </c>
      <c r="BA97" s="22">
        <v>1</v>
      </c>
      <c r="BB97" s="22">
        <v>0</v>
      </c>
      <c r="BC97" s="22">
        <v>0</v>
      </c>
      <c r="BD97" s="22">
        <v>0</v>
      </c>
      <c r="BE97" s="22">
        <v>0</v>
      </c>
      <c r="BF97" s="22">
        <v>0</v>
      </c>
      <c r="BG97" s="22">
        <v>0</v>
      </c>
      <c r="BH97" s="22">
        <v>0</v>
      </c>
      <c r="BI97" s="12">
        <v>1</v>
      </c>
      <c r="BJ97">
        <v>0</v>
      </c>
      <c r="BK97">
        <v>1</v>
      </c>
      <c r="BL97">
        <v>0</v>
      </c>
      <c r="BM97">
        <v>1</v>
      </c>
      <c r="BN97">
        <v>1</v>
      </c>
      <c r="BO97">
        <v>3</v>
      </c>
      <c r="BP97">
        <v>0</v>
      </c>
      <c r="BQ97">
        <v>1</v>
      </c>
      <c r="BR97">
        <v>0</v>
      </c>
      <c r="BS97">
        <v>0</v>
      </c>
      <c r="BT97">
        <v>1</v>
      </c>
      <c r="BU97">
        <v>0</v>
      </c>
      <c r="BV97" s="19">
        <v>0</v>
      </c>
      <c r="BW97" s="22">
        <v>0</v>
      </c>
      <c r="BX97" s="22">
        <v>0</v>
      </c>
      <c r="BY97" s="22">
        <v>2</v>
      </c>
      <c r="BZ97" s="22">
        <v>0</v>
      </c>
      <c r="CA97" s="22">
        <v>0</v>
      </c>
      <c r="CB97" s="22">
        <v>0</v>
      </c>
      <c r="CC97" s="22">
        <v>1</v>
      </c>
      <c r="CD97" s="22">
        <v>5</v>
      </c>
      <c r="CE97" s="22">
        <v>1</v>
      </c>
      <c r="CF97" s="22">
        <v>2</v>
      </c>
      <c r="CG97" s="22">
        <v>6</v>
      </c>
      <c r="CH97" s="788">
        <v>4</v>
      </c>
      <c r="CI97" s="22">
        <v>0</v>
      </c>
      <c r="CJ97" s="22">
        <v>0</v>
      </c>
      <c r="CK97" s="22">
        <v>0</v>
      </c>
      <c r="CL97" s="22">
        <v>0</v>
      </c>
      <c r="CM97" s="22">
        <v>0</v>
      </c>
      <c r="CN97" s="22">
        <v>0</v>
      </c>
      <c r="CO97" s="22">
        <v>2</v>
      </c>
      <c r="CP97" s="22">
        <v>0</v>
      </c>
      <c r="CQ97" s="22">
        <v>3</v>
      </c>
      <c r="CR97" s="22">
        <v>2</v>
      </c>
      <c r="CS97" s="12">
        <v>7</v>
      </c>
      <c r="CT97" s="788">
        <v>0</v>
      </c>
      <c r="CU97" s="22">
        <v>0</v>
      </c>
      <c r="CV97" s="22">
        <v>0</v>
      </c>
      <c r="CW97" s="22">
        <v>2</v>
      </c>
      <c r="CX97" s="22">
        <v>0</v>
      </c>
      <c r="CY97" s="22">
        <v>0</v>
      </c>
      <c r="CZ97" s="22">
        <v>0</v>
      </c>
      <c r="DA97" s="22">
        <v>2</v>
      </c>
      <c r="DB97" s="22">
        <v>0</v>
      </c>
      <c r="DC97" s="22">
        <v>0</v>
      </c>
      <c r="DD97" s="22">
        <v>0</v>
      </c>
      <c r="DE97" s="12">
        <v>1</v>
      </c>
      <c r="DF97" s="788">
        <v>0</v>
      </c>
      <c r="DG97" s="22">
        <v>0</v>
      </c>
      <c r="DH97" s="22">
        <v>0</v>
      </c>
      <c r="DI97" s="22">
        <v>0</v>
      </c>
      <c r="DJ97" s="22">
        <v>0</v>
      </c>
      <c r="DK97" s="22">
        <v>0</v>
      </c>
      <c r="DL97" s="22">
        <v>0</v>
      </c>
      <c r="DM97" s="22">
        <v>0</v>
      </c>
      <c r="DN97" s="22">
        <v>0</v>
      </c>
      <c r="DO97" s="22">
        <v>0</v>
      </c>
      <c r="DP97" s="22">
        <v>0</v>
      </c>
      <c r="DQ97" s="12">
        <v>0</v>
      </c>
      <c r="DR97" s="788">
        <v>0</v>
      </c>
      <c r="DS97" s="22">
        <v>0</v>
      </c>
      <c r="DT97" s="22">
        <v>0</v>
      </c>
      <c r="DU97" s="22">
        <v>0</v>
      </c>
      <c r="DV97" s="22">
        <v>0</v>
      </c>
      <c r="DW97" s="22">
        <v>0</v>
      </c>
      <c r="DX97" s="22">
        <v>0</v>
      </c>
      <c r="DY97" s="22">
        <v>0</v>
      </c>
      <c r="DZ97" s="22">
        <v>0</v>
      </c>
      <c r="EA97" s="22">
        <v>0</v>
      </c>
      <c r="EB97" s="22">
        <v>0</v>
      </c>
      <c r="EC97" s="12">
        <v>0</v>
      </c>
      <c r="ED97" s="12">
        <f t="shared" si="260"/>
        <v>58</v>
      </c>
      <c r="EF97" s="6">
        <f t="shared" si="261"/>
        <v>2</v>
      </c>
      <c r="EG97" s="19">
        <f t="shared" si="262"/>
        <v>1</v>
      </c>
      <c r="EH97" s="22">
        <f t="shared" si="263"/>
        <v>0</v>
      </c>
      <c r="EI97" s="22">
        <f t="shared" si="264"/>
        <v>0</v>
      </c>
      <c r="EJ97" s="12">
        <f t="shared" si="265"/>
        <v>1</v>
      </c>
      <c r="EK97" s="22">
        <f t="shared" si="266"/>
        <v>1</v>
      </c>
      <c r="EL97" s="22">
        <f t="shared" si="267"/>
        <v>3</v>
      </c>
      <c r="EM97" s="22">
        <f t="shared" si="268"/>
        <v>0</v>
      </c>
      <c r="EN97" s="22">
        <f t="shared" si="269"/>
        <v>0</v>
      </c>
      <c r="EO97" s="19">
        <f t="shared" si="298"/>
        <v>0</v>
      </c>
      <c r="EP97" s="22">
        <f t="shared" si="299"/>
        <v>1</v>
      </c>
      <c r="EQ97" s="22">
        <f t="shared" si="300"/>
        <v>0</v>
      </c>
      <c r="ER97" s="12">
        <f t="shared" si="301"/>
        <v>1</v>
      </c>
      <c r="ES97" s="90">
        <f t="shared" si="270"/>
        <v>1</v>
      </c>
      <c r="ET97" s="94">
        <f t="shared" si="271"/>
        <v>5</v>
      </c>
      <c r="EU97" s="94">
        <f t="shared" si="302"/>
        <v>1</v>
      </c>
      <c r="EV97" s="28">
        <f t="shared" si="303"/>
        <v>1</v>
      </c>
      <c r="EW97" s="90">
        <f t="shared" si="272"/>
        <v>0</v>
      </c>
      <c r="EX97" s="94">
        <f t="shared" si="273"/>
        <v>2</v>
      </c>
      <c r="EY97" s="94">
        <f t="shared" si="274"/>
        <v>6</v>
      </c>
      <c r="EZ97" s="28">
        <f t="shared" si="275"/>
        <v>9</v>
      </c>
      <c r="FA97" s="90">
        <f t="shared" si="304"/>
        <v>4</v>
      </c>
      <c r="FB97" s="94">
        <f t="shared" si="305"/>
        <v>0</v>
      </c>
      <c r="FC97" s="94">
        <f t="shared" si="306"/>
        <v>2</v>
      </c>
      <c r="FD97" s="28">
        <f t="shared" si="307"/>
        <v>12</v>
      </c>
      <c r="FE97" s="90">
        <f t="shared" si="276"/>
        <v>0</v>
      </c>
      <c r="FF97" s="94">
        <f t="shared" si="277"/>
        <v>2</v>
      </c>
      <c r="FG97" s="94">
        <f t="shared" si="278"/>
        <v>2</v>
      </c>
      <c r="FH97" s="28">
        <f t="shared" si="279"/>
        <v>1</v>
      </c>
      <c r="FI97" s="90">
        <f t="shared" si="280"/>
        <v>0</v>
      </c>
      <c r="FJ97" s="94">
        <f t="shared" si="281"/>
        <v>0</v>
      </c>
      <c r="FK97" s="94">
        <f t="shared" si="282"/>
        <v>0</v>
      </c>
      <c r="FL97" s="28">
        <f t="shared" si="283"/>
        <v>0</v>
      </c>
      <c r="FM97" s="90">
        <f t="shared" si="284"/>
        <v>0</v>
      </c>
      <c r="FN97" s="94">
        <f t="shared" si="285"/>
        <v>0</v>
      </c>
      <c r="FO97" s="94">
        <f t="shared" si="286"/>
        <v>0</v>
      </c>
      <c r="FP97" s="28">
        <f t="shared" si="287"/>
        <v>0</v>
      </c>
      <c r="FR97" s="125">
        <f t="shared" si="288"/>
        <v>2</v>
      </c>
      <c r="FS97" s="156">
        <f t="shared" si="289"/>
        <v>2</v>
      </c>
      <c r="FT97" s="156">
        <f t="shared" si="290"/>
        <v>4</v>
      </c>
      <c r="FU97" s="156">
        <f t="shared" si="291"/>
        <v>2</v>
      </c>
      <c r="FV97" s="137">
        <f t="shared" si="292"/>
        <v>8</v>
      </c>
      <c r="FW97" s="137">
        <f t="shared" si="293"/>
        <v>17</v>
      </c>
      <c r="FX97" s="22">
        <f t="shared" si="294"/>
        <v>18</v>
      </c>
      <c r="FY97" s="22">
        <f t="shared" si="295"/>
        <v>5</v>
      </c>
      <c r="FZ97" s="94">
        <f t="shared" si="296"/>
        <v>0</v>
      </c>
      <c r="GA97" s="28">
        <f t="shared" si="297"/>
        <v>0</v>
      </c>
    </row>
    <row r="98" spans="1:183">
      <c r="A98" s="219" t="s">
        <v>910</v>
      </c>
      <c r="B98" s="76"/>
      <c r="C98">
        <v>0</v>
      </c>
      <c r="D98">
        <v>0</v>
      </c>
      <c r="E98">
        <v>0</v>
      </c>
      <c r="F98">
        <v>0</v>
      </c>
      <c r="G98">
        <v>0</v>
      </c>
      <c r="H98">
        <v>0</v>
      </c>
      <c r="I98">
        <v>0</v>
      </c>
      <c r="J98">
        <v>0</v>
      </c>
      <c r="K98">
        <v>0</v>
      </c>
      <c r="L98">
        <v>0</v>
      </c>
      <c r="M98">
        <v>0</v>
      </c>
      <c r="N98" s="19">
        <v>0</v>
      </c>
      <c r="O98" s="22">
        <v>0</v>
      </c>
      <c r="P98" s="22">
        <v>0</v>
      </c>
      <c r="Q98" s="22">
        <v>0</v>
      </c>
      <c r="R98" s="22">
        <v>0</v>
      </c>
      <c r="S98" s="22">
        <v>0</v>
      </c>
      <c r="T98" s="22">
        <v>0</v>
      </c>
      <c r="U98" s="22">
        <v>0</v>
      </c>
      <c r="V98" s="22">
        <v>0</v>
      </c>
      <c r="W98" s="22">
        <v>0</v>
      </c>
      <c r="X98" s="22">
        <v>0</v>
      </c>
      <c r="Y98" s="12">
        <v>0</v>
      </c>
      <c r="Z98">
        <v>0</v>
      </c>
      <c r="AA98">
        <v>0</v>
      </c>
      <c r="AB98">
        <v>0</v>
      </c>
      <c r="AC98">
        <v>0</v>
      </c>
      <c r="AD98">
        <v>0</v>
      </c>
      <c r="AE98">
        <v>0</v>
      </c>
      <c r="AF98">
        <v>0</v>
      </c>
      <c r="AG98">
        <v>0</v>
      </c>
      <c r="AH98">
        <v>0</v>
      </c>
      <c r="AI98">
        <v>0</v>
      </c>
      <c r="AJ98">
        <v>0</v>
      </c>
      <c r="AK98">
        <v>0</v>
      </c>
      <c r="AL98" s="19">
        <v>0</v>
      </c>
      <c r="AM98" s="22">
        <v>0</v>
      </c>
      <c r="AN98" s="22">
        <v>0</v>
      </c>
      <c r="AO98" s="22">
        <v>0</v>
      </c>
      <c r="AP98" s="22">
        <v>0</v>
      </c>
      <c r="AQ98" s="22">
        <v>0</v>
      </c>
      <c r="AR98" s="23">
        <v>0</v>
      </c>
      <c r="AS98" s="23">
        <v>0</v>
      </c>
      <c r="AT98" s="22">
        <v>0</v>
      </c>
      <c r="AU98" s="22">
        <v>0</v>
      </c>
      <c r="AV98" s="22">
        <v>0</v>
      </c>
      <c r="AW98" s="12">
        <v>0</v>
      </c>
      <c r="AX98" s="19">
        <v>0</v>
      </c>
      <c r="AY98" s="22">
        <v>0</v>
      </c>
      <c r="AZ98" s="22">
        <v>0</v>
      </c>
      <c r="BA98" s="22">
        <v>0</v>
      </c>
      <c r="BB98" s="22">
        <v>0</v>
      </c>
      <c r="BC98" s="22">
        <v>0</v>
      </c>
      <c r="BD98" s="22">
        <v>0</v>
      </c>
      <c r="BE98" s="22">
        <v>0</v>
      </c>
      <c r="BF98" s="22">
        <v>0</v>
      </c>
      <c r="BG98" s="22">
        <v>0</v>
      </c>
      <c r="BH98" s="22">
        <v>0</v>
      </c>
      <c r="BI98" s="12">
        <v>0</v>
      </c>
      <c r="BJ98">
        <v>0</v>
      </c>
      <c r="BK98">
        <v>0</v>
      </c>
      <c r="BL98">
        <v>0</v>
      </c>
      <c r="BM98">
        <v>0</v>
      </c>
      <c r="BN98">
        <v>0</v>
      </c>
      <c r="BO98">
        <v>0</v>
      </c>
      <c r="BP98">
        <v>0</v>
      </c>
      <c r="BQ98">
        <v>0</v>
      </c>
      <c r="BR98">
        <v>0</v>
      </c>
      <c r="BS98">
        <v>0</v>
      </c>
      <c r="BT98">
        <v>0</v>
      </c>
      <c r="BU98">
        <v>0</v>
      </c>
      <c r="BV98" s="19">
        <v>0</v>
      </c>
      <c r="BW98" s="22">
        <v>0</v>
      </c>
      <c r="BX98" s="22">
        <v>0</v>
      </c>
      <c r="BY98" s="22">
        <v>0</v>
      </c>
      <c r="BZ98" s="22">
        <v>0</v>
      </c>
      <c r="CA98" s="22">
        <v>0</v>
      </c>
      <c r="CB98" s="22">
        <v>1</v>
      </c>
      <c r="CC98" s="22">
        <v>0</v>
      </c>
      <c r="CD98" s="22">
        <v>0</v>
      </c>
      <c r="CE98" s="22">
        <v>0</v>
      </c>
      <c r="CF98" s="22">
        <v>0</v>
      </c>
      <c r="CG98" s="22">
        <v>0</v>
      </c>
      <c r="CH98" s="788">
        <v>0</v>
      </c>
      <c r="CI98" s="22">
        <v>0</v>
      </c>
      <c r="CJ98" s="22">
        <v>0</v>
      </c>
      <c r="CK98" s="22">
        <v>0</v>
      </c>
      <c r="CL98" s="22">
        <v>0</v>
      </c>
      <c r="CM98" s="22">
        <v>0</v>
      </c>
      <c r="CN98" s="22">
        <v>0</v>
      </c>
      <c r="CO98" s="22">
        <v>0</v>
      </c>
      <c r="CP98" s="22">
        <v>0</v>
      </c>
      <c r="CQ98" s="22">
        <v>0</v>
      </c>
      <c r="CR98" s="22">
        <v>0</v>
      </c>
      <c r="CS98" s="12">
        <v>0</v>
      </c>
      <c r="CT98" s="788">
        <v>0</v>
      </c>
      <c r="CU98" s="22">
        <v>0</v>
      </c>
      <c r="CV98" s="22">
        <v>0</v>
      </c>
      <c r="CW98" s="22">
        <v>0</v>
      </c>
      <c r="CX98" s="22">
        <v>0</v>
      </c>
      <c r="CY98" s="22">
        <v>0</v>
      </c>
      <c r="CZ98" s="22">
        <v>0</v>
      </c>
      <c r="DA98" s="22">
        <v>0</v>
      </c>
      <c r="DB98" s="22">
        <v>0</v>
      </c>
      <c r="DC98" s="22">
        <v>0</v>
      </c>
      <c r="DD98" s="22">
        <v>0</v>
      </c>
      <c r="DE98" s="12">
        <v>0</v>
      </c>
      <c r="DF98" s="788">
        <v>0</v>
      </c>
      <c r="DG98" s="22">
        <v>0</v>
      </c>
      <c r="DH98" s="22">
        <v>0</v>
      </c>
      <c r="DI98" s="22">
        <v>0</v>
      </c>
      <c r="DJ98" s="22">
        <v>0</v>
      </c>
      <c r="DK98" s="22">
        <v>0</v>
      </c>
      <c r="DL98" s="22">
        <v>0</v>
      </c>
      <c r="DM98" s="22">
        <v>0</v>
      </c>
      <c r="DN98" s="22">
        <v>0</v>
      </c>
      <c r="DO98" s="22">
        <v>0</v>
      </c>
      <c r="DP98" s="22">
        <v>0</v>
      </c>
      <c r="DQ98" s="12">
        <v>0</v>
      </c>
      <c r="DR98" s="788">
        <v>0</v>
      </c>
      <c r="DS98" s="22">
        <v>0</v>
      </c>
      <c r="DT98" s="22">
        <v>0</v>
      </c>
      <c r="DU98" s="22">
        <v>0</v>
      </c>
      <c r="DV98" s="22">
        <v>0</v>
      </c>
      <c r="DW98" s="22">
        <v>0</v>
      </c>
      <c r="DX98" s="22">
        <v>0</v>
      </c>
      <c r="DY98" s="22">
        <v>0</v>
      </c>
      <c r="DZ98" s="22">
        <v>0</v>
      </c>
      <c r="EA98" s="22">
        <v>0</v>
      </c>
      <c r="EB98" s="22">
        <v>0</v>
      </c>
      <c r="EC98" s="12">
        <v>0</v>
      </c>
      <c r="ED98" s="12">
        <f t="shared" si="260"/>
        <v>1</v>
      </c>
      <c r="EF98" s="6">
        <f t="shared" si="261"/>
        <v>0</v>
      </c>
      <c r="EG98" s="19">
        <f t="shared" si="262"/>
        <v>0</v>
      </c>
      <c r="EH98" s="22">
        <f t="shared" si="263"/>
        <v>0</v>
      </c>
      <c r="EI98" s="22">
        <f t="shared" si="264"/>
        <v>0</v>
      </c>
      <c r="EJ98" s="12">
        <f t="shared" si="265"/>
        <v>0</v>
      </c>
      <c r="EK98" s="22">
        <f t="shared" si="266"/>
        <v>0</v>
      </c>
      <c r="EL98" s="22">
        <f t="shared" si="267"/>
        <v>0</v>
      </c>
      <c r="EM98" s="22">
        <f t="shared" si="268"/>
        <v>0</v>
      </c>
      <c r="EN98" s="22">
        <f t="shared" si="269"/>
        <v>0</v>
      </c>
      <c r="EO98" s="19">
        <f t="shared" si="298"/>
        <v>0</v>
      </c>
      <c r="EP98" s="22">
        <f t="shared" si="299"/>
        <v>0</v>
      </c>
      <c r="EQ98" s="22">
        <f t="shared" si="300"/>
        <v>0</v>
      </c>
      <c r="ER98" s="12">
        <f t="shared" si="301"/>
        <v>0</v>
      </c>
      <c r="ES98" s="90">
        <f t="shared" si="270"/>
        <v>0</v>
      </c>
      <c r="ET98" s="94">
        <f t="shared" si="271"/>
        <v>0</v>
      </c>
      <c r="EU98" s="94">
        <f t="shared" si="302"/>
        <v>0</v>
      </c>
      <c r="EV98" s="28">
        <f t="shared" si="303"/>
        <v>0</v>
      </c>
      <c r="EW98" s="90">
        <f t="shared" si="272"/>
        <v>0</v>
      </c>
      <c r="EX98" s="94">
        <f t="shared" si="273"/>
        <v>0</v>
      </c>
      <c r="EY98" s="94">
        <f t="shared" si="274"/>
        <v>1</v>
      </c>
      <c r="EZ98" s="28">
        <f t="shared" si="275"/>
        <v>0</v>
      </c>
      <c r="FA98" s="90">
        <f t="shared" si="304"/>
        <v>0</v>
      </c>
      <c r="FB98" s="94">
        <f t="shared" si="305"/>
        <v>0</v>
      </c>
      <c r="FC98" s="94">
        <f t="shared" si="306"/>
        <v>0</v>
      </c>
      <c r="FD98" s="28">
        <f t="shared" si="307"/>
        <v>0</v>
      </c>
      <c r="FE98" s="90">
        <f t="shared" si="276"/>
        <v>0</v>
      </c>
      <c r="FF98" s="94">
        <f t="shared" si="277"/>
        <v>0</v>
      </c>
      <c r="FG98" s="94">
        <f t="shared" si="278"/>
        <v>0</v>
      </c>
      <c r="FH98" s="28">
        <f t="shared" si="279"/>
        <v>0</v>
      </c>
      <c r="FI98" s="90">
        <f t="shared" si="280"/>
        <v>0</v>
      </c>
      <c r="FJ98" s="94">
        <f t="shared" si="281"/>
        <v>0</v>
      </c>
      <c r="FK98" s="94">
        <f t="shared" si="282"/>
        <v>0</v>
      </c>
      <c r="FL98" s="28">
        <f t="shared" si="283"/>
        <v>0</v>
      </c>
      <c r="FM98" s="90">
        <f t="shared" si="284"/>
        <v>0</v>
      </c>
      <c r="FN98" s="94">
        <f t="shared" si="285"/>
        <v>0</v>
      </c>
      <c r="FO98" s="94">
        <f t="shared" si="286"/>
        <v>0</v>
      </c>
      <c r="FP98" s="28">
        <f t="shared" si="287"/>
        <v>0</v>
      </c>
      <c r="FR98" s="125">
        <f t="shared" si="288"/>
        <v>0</v>
      </c>
      <c r="FS98" s="156">
        <f t="shared" si="289"/>
        <v>0</v>
      </c>
      <c r="FT98" s="156">
        <f t="shared" si="290"/>
        <v>0</v>
      </c>
      <c r="FU98" s="156">
        <f t="shared" si="291"/>
        <v>0</v>
      </c>
      <c r="FV98" s="137">
        <f t="shared" si="292"/>
        <v>0</v>
      </c>
      <c r="FW98" s="137">
        <f t="shared" si="293"/>
        <v>1</v>
      </c>
      <c r="FX98" s="22">
        <f t="shared" si="294"/>
        <v>0</v>
      </c>
      <c r="FY98" s="22">
        <f t="shared" si="295"/>
        <v>0</v>
      </c>
      <c r="FZ98" s="94">
        <f t="shared" si="296"/>
        <v>0</v>
      </c>
      <c r="GA98" s="28">
        <f t="shared" si="297"/>
        <v>0</v>
      </c>
    </row>
    <row r="99" spans="1:183">
      <c r="A99" s="219" t="s">
        <v>911</v>
      </c>
      <c r="B99" s="76"/>
      <c r="C99">
        <v>0</v>
      </c>
      <c r="D99">
        <v>0</v>
      </c>
      <c r="E99">
        <v>0</v>
      </c>
      <c r="F99">
        <v>0</v>
      </c>
      <c r="G99">
        <v>0</v>
      </c>
      <c r="H99">
        <v>0</v>
      </c>
      <c r="I99">
        <v>0</v>
      </c>
      <c r="J99">
        <v>0</v>
      </c>
      <c r="K99">
        <v>0</v>
      </c>
      <c r="L99">
        <v>0</v>
      </c>
      <c r="M99">
        <v>0</v>
      </c>
      <c r="N99" s="19">
        <v>0</v>
      </c>
      <c r="O99" s="22">
        <v>0</v>
      </c>
      <c r="P99" s="22">
        <v>0</v>
      </c>
      <c r="Q99" s="22">
        <v>0</v>
      </c>
      <c r="R99" s="22">
        <v>0</v>
      </c>
      <c r="S99" s="22">
        <v>0</v>
      </c>
      <c r="T99" s="22">
        <v>0</v>
      </c>
      <c r="U99" s="22">
        <v>0</v>
      </c>
      <c r="V99" s="22">
        <v>0</v>
      </c>
      <c r="W99" s="22">
        <v>1</v>
      </c>
      <c r="X99" s="22">
        <v>0</v>
      </c>
      <c r="Y99" s="12">
        <v>2</v>
      </c>
      <c r="Z99">
        <v>0</v>
      </c>
      <c r="AA99">
        <v>1</v>
      </c>
      <c r="AB99">
        <v>1</v>
      </c>
      <c r="AC99">
        <v>0</v>
      </c>
      <c r="AD99">
        <v>0</v>
      </c>
      <c r="AE99">
        <v>0</v>
      </c>
      <c r="AF99">
        <v>1</v>
      </c>
      <c r="AG99">
        <v>0</v>
      </c>
      <c r="AH99">
        <v>0</v>
      </c>
      <c r="AI99">
        <v>0</v>
      </c>
      <c r="AJ99">
        <v>0</v>
      </c>
      <c r="AK99">
        <v>1</v>
      </c>
      <c r="AL99" s="19">
        <v>1</v>
      </c>
      <c r="AM99" s="22">
        <v>0</v>
      </c>
      <c r="AN99" s="22">
        <v>0</v>
      </c>
      <c r="AO99" s="22">
        <v>0</v>
      </c>
      <c r="AP99" s="22">
        <v>0</v>
      </c>
      <c r="AQ99" s="22">
        <v>2</v>
      </c>
      <c r="AR99" s="23">
        <v>0</v>
      </c>
      <c r="AS99" s="23">
        <v>1</v>
      </c>
      <c r="AT99" s="22">
        <v>0</v>
      </c>
      <c r="AU99" s="22">
        <v>0</v>
      </c>
      <c r="AV99" s="22">
        <v>0</v>
      </c>
      <c r="AW99" s="12">
        <v>0</v>
      </c>
      <c r="AX99" s="19">
        <v>0</v>
      </c>
      <c r="AY99" s="22">
        <v>0</v>
      </c>
      <c r="AZ99" s="22">
        <v>0</v>
      </c>
      <c r="BA99" s="22">
        <v>0</v>
      </c>
      <c r="BB99" s="22">
        <v>0</v>
      </c>
      <c r="BC99" s="22">
        <v>1</v>
      </c>
      <c r="BD99" s="22">
        <v>0</v>
      </c>
      <c r="BE99" s="22">
        <v>1</v>
      </c>
      <c r="BF99" s="22">
        <v>2</v>
      </c>
      <c r="BG99" s="22">
        <v>1</v>
      </c>
      <c r="BH99" s="22">
        <v>2</v>
      </c>
      <c r="BI99" s="12">
        <v>3</v>
      </c>
      <c r="BJ99">
        <v>1</v>
      </c>
      <c r="BK99">
        <v>2</v>
      </c>
      <c r="BL99">
        <v>0</v>
      </c>
      <c r="BM99">
        <v>1</v>
      </c>
      <c r="BN99">
        <v>0</v>
      </c>
      <c r="BO99">
        <v>3</v>
      </c>
      <c r="BP99">
        <v>2</v>
      </c>
      <c r="BQ99">
        <v>2</v>
      </c>
      <c r="BR99">
        <v>5</v>
      </c>
      <c r="BS99">
        <v>1</v>
      </c>
      <c r="BT99">
        <v>1</v>
      </c>
      <c r="BU99">
        <v>4</v>
      </c>
      <c r="BV99" s="19">
        <v>2</v>
      </c>
      <c r="BW99" s="22">
        <v>0</v>
      </c>
      <c r="BX99" s="22">
        <v>3</v>
      </c>
      <c r="BY99" s="22">
        <v>1</v>
      </c>
      <c r="BZ99" s="22">
        <v>2</v>
      </c>
      <c r="CA99" s="22">
        <v>1</v>
      </c>
      <c r="CB99" s="22">
        <v>3</v>
      </c>
      <c r="CC99" s="22">
        <v>2</v>
      </c>
      <c r="CD99" s="22">
        <v>4</v>
      </c>
      <c r="CE99" s="22">
        <v>1</v>
      </c>
      <c r="CF99" s="22">
        <v>4</v>
      </c>
      <c r="CG99" s="22">
        <v>2</v>
      </c>
      <c r="CH99" s="788">
        <v>3</v>
      </c>
      <c r="CI99" s="22">
        <v>0</v>
      </c>
      <c r="CJ99" s="22">
        <v>6</v>
      </c>
      <c r="CK99" s="22">
        <v>3</v>
      </c>
      <c r="CL99" s="22">
        <v>0</v>
      </c>
      <c r="CM99" s="22">
        <v>1</v>
      </c>
      <c r="CN99" s="22">
        <v>4</v>
      </c>
      <c r="CO99" s="22">
        <v>0</v>
      </c>
      <c r="CP99" s="22">
        <v>1</v>
      </c>
      <c r="CQ99" s="22">
        <v>2</v>
      </c>
      <c r="CR99" s="22">
        <v>1</v>
      </c>
      <c r="CS99" s="12">
        <v>11</v>
      </c>
      <c r="CT99" s="788">
        <v>3</v>
      </c>
      <c r="CU99" s="22">
        <v>0</v>
      </c>
      <c r="CV99" s="22">
        <v>0</v>
      </c>
      <c r="CW99" s="22">
        <v>0</v>
      </c>
      <c r="CX99" s="22">
        <v>0</v>
      </c>
      <c r="CY99" s="22">
        <v>0</v>
      </c>
      <c r="CZ99" s="22">
        <v>0</v>
      </c>
      <c r="DA99" s="22">
        <v>0</v>
      </c>
      <c r="DB99" s="22">
        <v>0</v>
      </c>
      <c r="DC99" s="22">
        <v>0</v>
      </c>
      <c r="DD99" s="22">
        <v>0</v>
      </c>
      <c r="DE99" s="12">
        <v>0</v>
      </c>
      <c r="DF99" s="788">
        <v>0</v>
      </c>
      <c r="DG99" s="22">
        <v>0</v>
      </c>
      <c r="DH99" s="22">
        <v>0</v>
      </c>
      <c r="DI99" s="22">
        <v>0</v>
      </c>
      <c r="DJ99" s="22">
        <v>0</v>
      </c>
      <c r="DK99" s="22">
        <v>0</v>
      </c>
      <c r="DL99" s="22">
        <v>0</v>
      </c>
      <c r="DM99" s="22">
        <v>0</v>
      </c>
      <c r="DN99" s="22">
        <v>0</v>
      </c>
      <c r="DO99" s="22">
        <v>0</v>
      </c>
      <c r="DP99" s="22">
        <v>0</v>
      </c>
      <c r="DQ99" s="12">
        <v>0</v>
      </c>
      <c r="DR99" s="788">
        <v>0</v>
      </c>
      <c r="DS99" s="22">
        <v>0</v>
      </c>
      <c r="DT99" s="22">
        <v>0</v>
      </c>
      <c r="DU99" s="22">
        <v>0</v>
      </c>
      <c r="DV99" s="22">
        <v>0</v>
      </c>
      <c r="DW99" s="22">
        <v>0</v>
      </c>
      <c r="DX99" s="22">
        <v>0</v>
      </c>
      <c r="DY99" s="22">
        <v>0</v>
      </c>
      <c r="DZ99" s="22">
        <v>0</v>
      </c>
      <c r="EA99" s="22">
        <v>0</v>
      </c>
      <c r="EB99" s="22">
        <v>0</v>
      </c>
      <c r="EC99" s="12">
        <v>0</v>
      </c>
      <c r="ED99" s="12">
        <f t="shared" si="260"/>
        <v>103</v>
      </c>
      <c r="EF99" s="6">
        <f t="shared" si="261"/>
        <v>3</v>
      </c>
      <c r="EG99" s="19">
        <f t="shared" si="262"/>
        <v>2</v>
      </c>
      <c r="EH99" s="22">
        <f t="shared" si="263"/>
        <v>0</v>
      </c>
      <c r="EI99" s="22">
        <f t="shared" si="264"/>
        <v>1</v>
      </c>
      <c r="EJ99" s="12">
        <f t="shared" si="265"/>
        <v>1</v>
      </c>
      <c r="EK99" s="22">
        <f t="shared" si="266"/>
        <v>1</v>
      </c>
      <c r="EL99" s="22">
        <f t="shared" si="267"/>
        <v>2</v>
      </c>
      <c r="EM99" s="22">
        <f t="shared" si="268"/>
        <v>1</v>
      </c>
      <c r="EN99" s="22">
        <f t="shared" si="269"/>
        <v>0</v>
      </c>
      <c r="EO99" s="19">
        <f t="shared" si="298"/>
        <v>0</v>
      </c>
      <c r="EP99" s="22">
        <f t="shared" si="299"/>
        <v>1</v>
      </c>
      <c r="EQ99" s="22">
        <f t="shared" si="300"/>
        <v>3</v>
      </c>
      <c r="ER99" s="12">
        <f t="shared" si="301"/>
        <v>6</v>
      </c>
      <c r="ES99" s="90">
        <f t="shared" si="270"/>
        <v>3</v>
      </c>
      <c r="ET99" s="94">
        <f t="shared" si="271"/>
        <v>4</v>
      </c>
      <c r="EU99" s="94">
        <f t="shared" si="302"/>
        <v>9</v>
      </c>
      <c r="EV99" s="28">
        <f t="shared" si="303"/>
        <v>6</v>
      </c>
      <c r="EW99" s="90">
        <f t="shared" si="272"/>
        <v>5</v>
      </c>
      <c r="EX99" s="94">
        <f t="shared" si="273"/>
        <v>4</v>
      </c>
      <c r="EY99" s="94">
        <f t="shared" si="274"/>
        <v>9</v>
      </c>
      <c r="EZ99" s="28">
        <f t="shared" si="275"/>
        <v>7</v>
      </c>
      <c r="FA99" s="90">
        <f t="shared" si="304"/>
        <v>9</v>
      </c>
      <c r="FB99" s="94">
        <f t="shared" si="305"/>
        <v>4</v>
      </c>
      <c r="FC99" s="94">
        <f t="shared" si="306"/>
        <v>5</v>
      </c>
      <c r="FD99" s="28">
        <f t="shared" si="307"/>
        <v>14</v>
      </c>
      <c r="FE99" s="90">
        <f t="shared" si="276"/>
        <v>3</v>
      </c>
      <c r="FF99" s="94">
        <f t="shared" si="277"/>
        <v>0</v>
      </c>
      <c r="FG99" s="94">
        <f t="shared" si="278"/>
        <v>0</v>
      </c>
      <c r="FH99" s="28">
        <f t="shared" si="279"/>
        <v>0</v>
      </c>
      <c r="FI99" s="90">
        <f t="shared" si="280"/>
        <v>0</v>
      </c>
      <c r="FJ99" s="94">
        <f t="shared" si="281"/>
        <v>0</v>
      </c>
      <c r="FK99" s="94">
        <f t="shared" si="282"/>
        <v>0</v>
      </c>
      <c r="FL99" s="28">
        <f t="shared" si="283"/>
        <v>0</v>
      </c>
      <c r="FM99" s="90">
        <f t="shared" si="284"/>
        <v>0</v>
      </c>
      <c r="FN99" s="94">
        <f t="shared" si="285"/>
        <v>0</v>
      </c>
      <c r="FO99" s="94">
        <f t="shared" si="286"/>
        <v>0</v>
      </c>
      <c r="FP99" s="28">
        <f t="shared" si="287"/>
        <v>0</v>
      </c>
      <c r="FR99" s="125">
        <f t="shared" si="288"/>
        <v>3</v>
      </c>
      <c r="FS99" s="156">
        <f t="shared" si="289"/>
        <v>4</v>
      </c>
      <c r="FT99" s="156">
        <f t="shared" si="290"/>
        <v>4</v>
      </c>
      <c r="FU99" s="156">
        <f t="shared" si="291"/>
        <v>10</v>
      </c>
      <c r="FV99" s="137">
        <f t="shared" si="292"/>
        <v>22</v>
      </c>
      <c r="FW99" s="137">
        <f t="shared" si="293"/>
        <v>25</v>
      </c>
      <c r="FX99" s="22">
        <f t="shared" si="294"/>
        <v>32</v>
      </c>
      <c r="FY99" s="22">
        <f t="shared" si="295"/>
        <v>3</v>
      </c>
      <c r="FZ99" s="94">
        <f t="shared" si="296"/>
        <v>0</v>
      </c>
      <c r="GA99" s="28">
        <f t="shared" si="297"/>
        <v>0</v>
      </c>
    </row>
    <row r="100" spans="1:183">
      <c r="A100" s="219" t="s">
        <v>1576</v>
      </c>
      <c r="B100" s="76"/>
      <c r="C100">
        <v>0</v>
      </c>
      <c r="D100">
        <v>0</v>
      </c>
      <c r="E100">
        <v>0</v>
      </c>
      <c r="F100">
        <v>0</v>
      </c>
      <c r="G100">
        <v>0</v>
      </c>
      <c r="H100">
        <v>0</v>
      </c>
      <c r="I100">
        <v>0</v>
      </c>
      <c r="J100">
        <v>0</v>
      </c>
      <c r="K100">
        <v>0</v>
      </c>
      <c r="L100">
        <v>0</v>
      </c>
      <c r="M100">
        <v>0</v>
      </c>
      <c r="N100" s="19">
        <v>0</v>
      </c>
      <c r="O100" s="22">
        <v>0</v>
      </c>
      <c r="P100" s="22">
        <v>0</v>
      </c>
      <c r="Q100" s="22">
        <v>0</v>
      </c>
      <c r="R100" s="22">
        <v>0</v>
      </c>
      <c r="S100" s="22">
        <v>0</v>
      </c>
      <c r="T100" s="22">
        <v>0</v>
      </c>
      <c r="U100" s="22">
        <v>0</v>
      </c>
      <c r="V100" s="22">
        <v>0</v>
      </c>
      <c r="W100" s="22">
        <v>0</v>
      </c>
      <c r="X100" s="22">
        <v>0</v>
      </c>
      <c r="Y100" s="12">
        <v>0</v>
      </c>
      <c r="Z100">
        <v>0</v>
      </c>
      <c r="AA100">
        <v>0</v>
      </c>
      <c r="AB100">
        <v>0</v>
      </c>
      <c r="AC100">
        <v>0</v>
      </c>
      <c r="AD100">
        <v>0</v>
      </c>
      <c r="AE100">
        <v>0</v>
      </c>
      <c r="AF100">
        <v>1</v>
      </c>
      <c r="AG100">
        <v>0</v>
      </c>
      <c r="AH100">
        <v>0</v>
      </c>
      <c r="AI100">
        <v>0</v>
      </c>
      <c r="AJ100">
        <v>0</v>
      </c>
      <c r="AK100">
        <v>0</v>
      </c>
      <c r="AL100" s="19">
        <v>0</v>
      </c>
      <c r="AM100" s="22">
        <v>0</v>
      </c>
      <c r="AN100" s="22">
        <v>0</v>
      </c>
      <c r="AO100" s="22">
        <v>0</v>
      </c>
      <c r="AP100" s="22">
        <v>0</v>
      </c>
      <c r="AQ100" s="22">
        <v>0</v>
      </c>
      <c r="AR100" s="23">
        <v>0</v>
      </c>
      <c r="AS100" s="23">
        <v>0</v>
      </c>
      <c r="AT100" s="22">
        <v>0</v>
      </c>
      <c r="AU100" s="22">
        <v>0</v>
      </c>
      <c r="AV100" s="22">
        <v>0</v>
      </c>
      <c r="AW100" s="12">
        <v>0</v>
      </c>
      <c r="AX100" s="19">
        <v>0</v>
      </c>
      <c r="AY100" s="22">
        <v>0</v>
      </c>
      <c r="AZ100" s="22">
        <v>0</v>
      </c>
      <c r="BA100" s="22">
        <v>0</v>
      </c>
      <c r="BB100" s="22">
        <v>0</v>
      </c>
      <c r="BC100" s="22">
        <v>0</v>
      </c>
      <c r="BD100" s="22">
        <v>1</v>
      </c>
      <c r="BE100" s="22">
        <v>1</v>
      </c>
      <c r="BF100" s="22">
        <v>0</v>
      </c>
      <c r="BG100" s="22">
        <v>0</v>
      </c>
      <c r="BH100" s="22">
        <v>0</v>
      </c>
      <c r="BI100" s="12">
        <v>0</v>
      </c>
      <c r="BJ100">
        <v>0</v>
      </c>
      <c r="BK100">
        <v>1</v>
      </c>
      <c r="BL100">
        <v>0</v>
      </c>
      <c r="BM100">
        <v>0</v>
      </c>
      <c r="BN100">
        <v>0</v>
      </c>
      <c r="BO100">
        <v>0</v>
      </c>
      <c r="BP100">
        <v>0</v>
      </c>
      <c r="BQ100">
        <v>0</v>
      </c>
      <c r="BR100">
        <v>0</v>
      </c>
      <c r="BS100">
        <v>0</v>
      </c>
      <c r="BT100">
        <v>0</v>
      </c>
      <c r="BU100">
        <v>0</v>
      </c>
      <c r="BV100" s="19">
        <v>0</v>
      </c>
      <c r="BW100" s="22">
        <v>2</v>
      </c>
      <c r="BX100" s="22">
        <v>0</v>
      </c>
      <c r="BY100" s="22">
        <v>0</v>
      </c>
      <c r="BZ100" s="22">
        <v>0</v>
      </c>
      <c r="CA100" s="22">
        <v>0</v>
      </c>
      <c r="CB100" s="22">
        <v>0</v>
      </c>
      <c r="CC100" s="22">
        <v>0</v>
      </c>
      <c r="CD100" s="22">
        <v>0</v>
      </c>
      <c r="CE100" s="22">
        <v>0</v>
      </c>
      <c r="CF100" s="22">
        <v>0</v>
      </c>
      <c r="CG100" s="22">
        <v>0</v>
      </c>
      <c r="CH100" s="788">
        <v>0</v>
      </c>
      <c r="CI100" s="22">
        <v>0</v>
      </c>
      <c r="CJ100" s="22">
        <v>0</v>
      </c>
      <c r="CK100" s="22">
        <v>0</v>
      </c>
      <c r="CL100" s="22">
        <v>0</v>
      </c>
      <c r="CM100" s="22">
        <v>0</v>
      </c>
      <c r="CN100" s="22">
        <v>0</v>
      </c>
      <c r="CO100" s="22">
        <v>0</v>
      </c>
      <c r="CP100" s="22">
        <v>0</v>
      </c>
      <c r="CQ100" s="22">
        <v>0</v>
      </c>
      <c r="CR100" s="22">
        <v>0</v>
      </c>
      <c r="CS100" s="12">
        <v>0</v>
      </c>
      <c r="CT100" s="788">
        <v>1</v>
      </c>
      <c r="CU100" s="22">
        <v>0</v>
      </c>
      <c r="CV100" s="22">
        <v>0</v>
      </c>
      <c r="CW100" s="22">
        <v>0</v>
      </c>
      <c r="CX100" s="22">
        <v>0</v>
      </c>
      <c r="CY100" s="22">
        <v>0</v>
      </c>
      <c r="CZ100" s="22">
        <v>0</v>
      </c>
      <c r="DA100" s="22">
        <v>0</v>
      </c>
      <c r="DB100" s="22">
        <v>0</v>
      </c>
      <c r="DC100" s="22">
        <v>0</v>
      </c>
      <c r="DD100" s="22">
        <v>0</v>
      </c>
      <c r="DE100" s="12">
        <v>0</v>
      </c>
      <c r="DF100" s="788">
        <v>0</v>
      </c>
      <c r="DG100" s="22">
        <v>0</v>
      </c>
      <c r="DH100" s="22">
        <v>0</v>
      </c>
      <c r="DI100" s="22">
        <v>0</v>
      </c>
      <c r="DJ100" s="22">
        <v>0</v>
      </c>
      <c r="DK100" s="22">
        <v>0</v>
      </c>
      <c r="DL100" s="22">
        <v>0</v>
      </c>
      <c r="DM100" s="22">
        <v>0</v>
      </c>
      <c r="DN100" s="22">
        <v>0</v>
      </c>
      <c r="DO100" s="22">
        <v>0</v>
      </c>
      <c r="DP100" s="22">
        <v>0</v>
      </c>
      <c r="DQ100" s="12">
        <v>0</v>
      </c>
      <c r="DR100" s="788">
        <v>0</v>
      </c>
      <c r="DS100" s="22">
        <v>0</v>
      </c>
      <c r="DT100" s="22">
        <v>0</v>
      </c>
      <c r="DU100" s="22">
        <v>0</v>
      </c>
      <c r="DV100" s="22">
        <v>0</v>
      </c>
      <c r="DW100" s="22">
        <v>0</v>
      </c>
      <c r="DX100" s="22">
        <v>0</v>
      </c>
      <c r="DY100" s="22">
        <v>0</v>
      </c>
      <c r="DZ100" s="22">
        <v>0</v>
      </c>
      <c r="EA100" s="22">
        <v>0</v>
      </c>
      <c r="EB100" s="22">
        <v>0</v>
      </c>
      <c r="EC100" s="12">
        <v>0</v>
      </c>
      <c r="ED100" s="12">
        <f t="shared" si="260"/>
        <v>7</v>
      </c>
      <c r="EF100" s="6">
        <f t="shared" si="261"/>
        <v>0</v>
      </c>
      <c r="EG100" s="19">
        <f t="shared" si="262"/>
        <v>0</v>
      </c>
      <c r="EH100" s="22">
        <f t="shared" si="263"/>
        <v>0</v>
      </c>
      <c r="EI100" s="22">
        <f t="shared" si="264"/>
        <v>1</v>
      </c>
      <c r="EJ100" s="12">
        <f t="shared" si="265"/>
        <v>0</v>
      </c>
      <c r="EK100" s="22">
        <f t="shared" si="266"/>
        <v>0</v>
      </c>
      <c r="EL100" s="22">
        <f t="shared" si="267"/>
        <v>0</v>
      </c>
      <c r="EM100" s="22">
        <f t="shared" si="268"/>
        <v>0</v>
      </c>
      <c r="EN100" s="22">
        <f t="shared" si="269"/>
        <v>0</v>
      </c>
      <c r="EO100" s="19">
        <f t="shared" si="298"/>
        <v>0</v>
      </c>
      <c r="EP100" s="22">
        <f t="shared" si="299"/>
        <v>0</v>
      </c>
      <c r="EQ100" s="22">
        <f t="shared" si="300"/>
        <v>2</v>
      </c>
      <c r="ER100" s="12">
        <f t="shared" si="301"/>
        <v>0</v>
      </c>
      <c r="ES100" s="90">
        <f t="shared" si="270"/>
        <v>1</v>
      </c>
      <c r="ET100" s="94">
        <f t="shared" si="271"/>
        <v>0</v>
      </c>
      <c r="EU100" s="94">
        <f t="shared" si="302"/>
        <v>0</v>
      </c>
      <c r="EV100" s="28">
        <f t="shared" si="303"/>
        <v>0</v>
      </c>
      <c r="EW100" s="90">
        <f t="shared" si="272"/>
        <v>2</v>
      </c>
      <c r="EX100" s="94">
        <f t="shared" si="273"/>
        <v>0</v>
      </c>
      <c r="EY100" s="94">
        <f t="shared" si="274"/>
        <v>0</v>
      </c>
      <c r="EZ100" s="28">
        <f t="shared" si="275"/>
        <v>0</v>
      </c>
      <c r="FA100" s="90">
        <f t="shared" si="304"/>
        <v>0</v>
      </c>
      <c r="FB100" s="94">
        <f t="shared" si="305"/>
        <v>0</v>
      </c>
      <c r="FC100" s="94">
        <f t="shared" si="306"/>
        <v>0</v>
      </c>
      <c r="FD100" s="28">
        <f t="shared" si="307"/>
        <v>0</v>
      </c>
      <c r="FE100" s="90">
        <f t="shared" si="276"/>
        <v>1</v>
      </c>
      <c r="FF100" s="94">
        <f t="shared" si="277"/>
        <v>0</v>
      </c>
      <c r="FG100" s="94">
        <f t="shared" si="278"/>
        <v>0</v>
      </c>
      <c r="FH100" s="28">
        <f t="shared" si="279"/>
        <v>0</v>
      </c>
      <c r="FI100" s="90">
        <f t="shared" si="280"/>
        <v>0</v>
      </c>
      <c r="FJ100" s="94">
        <f t="shared" si="281"/>
        <v>0</v>
      </c>
      <c r="FK100" s="94">
        <f t="shared" si="282"/>
        <v>0</v>
      </c>
      <c r="FL100" s="28">
        <f t="shared" si="283"/>
        <v>0</v>
      </c>
      <c r="FM100" s="90">
        <f t="shared" si="284"/>
        <v>0</v>
      </c>
      <c r="FN100" s="94">
        <f t="shared" si="285"/>
        <v>0</v>
      </c>
      <c r="FO100" s="94">
        <f t="shared" si="286"/>
        <v>0</v>
      </c>
      <c r="FP100" s="28">
        <f t="shared" si="287"/>
        <v>0</v>
      </c>
      <c r="FR100" s="125">
        <f t="shared" si="288"/>
        <v>0</v>
      </c>
      <c r="FS100" s="156">
        <f t="shared" si="289"/>
        <v>1</v>
      </c>
      <c r="FT100" s="156">
        <f t="shared" si="290"/>
        <v>0</v>
      </c>
      <c r="FU100" s="156">
        <f t="shared" si="291"/>
        <v>2</v>
      </c>
      <c r="FV100" s="137">
        <f t="shared" si="292"/>
        <v>1</v>
      </c>
      <c r="FW100" s="137">
        <f t="shared" si="293"/>
        <v>2</v>
      </c>
      <c r="FX100" s="22">
        <f t="shared" si="294"/>
        <v>0</v>
      </c>
      <c r="FY100" s="22">
        <f t="shared" si="295"/>
        <v>1</v>
      </c>
      <c r="FZ100" s="94">
        <f t="shared" si="296"/>
        <v>0</v>
      </c>
      <c r="GA100" s="28">
        <f t="shared" si="297"/>
        <v>0</v>
      </c>
    </row>
    <row r="101" spans="1:183">
      <c r="A101" s="219" t="s">
        <v>719</v>
      </c>
      <c r="B101" s="76"/>
      <c r="C101">
        <v>0</v>
      </c>
      <c r="D101">
        <v>0</v>
      </c>
      <c r="E101">
        <v>0</v>
      </c>
      <c r="F101">
        <v>0</v>
      </c>
      <c r="G101">
        <v>0</v>
      </c>
      <c r="H101">
        <v>0</v>
      </c>
      <c r="I101">
        <v>0</v>
      </c>
      <c r="J101">
        <v>0</v>
      </c>
      <c r="K101">
        <v>0</v>
      </c>
      <c r="L101">
        <v>0</v>
      </c>
      <c r="M101">
        <v>0</v>
      </c>
      <c r="N101" s="19">
        <v>0</v>
      </c>
      <c r="O101" s="22">
        <v>0</v>
      </c>
      <c r="P101" s="22">
        <v>0</v>
      </c>
      <c r="Q101" s="22">
        <v>0</v>
      </c>
      <c r="R101" s="22">
        <v>0</v>
      </c>
      <c r="S101" s="22">
        <v>0</v>
      </c>
      <c r="T101" s="22">
        <v>0</v>
      </c>
      <c r="U101" s="22">
        <v>0</v>
      </c>
      <c r="V101" s="22">
        <v>0</v>
      </c>
      <c r="W101" s="22">
        <v>0</v>
      </c>
      <c r="X101" s="22">
        <v>0</v>
      </c>
      <c r="Y101" s="12">
        <v>0</v>
      </c>
      <c r="Z101">
        <v>0</v>
      </c>
      <c r="AA101">
        <v>0</v>
      </c>
      <c r="AB101">
        <v>0</v>
      </c>
      <c r="AC101">
        <v>0</v>
      </c>
      <c r="AD101">
        <v>0</v>
      </c>
      <c r="AE101">
        <v>0</v>
      </c>
      <c r="AF101">
        <v>0</v>
      </c>
      <c r="AG101">
        <v>0</v>
      </c>
      <c r="AH101">
        <v>0</v>
      </c>
      <c r="AI101">
        <v>0</v>
      </c>
      <c r="AJ101">
        <v>0</v>
      </c>
      <c r="AK101">
        <v>0</v>
      </c>
      <c r="AL101" s="19">
        <v>0</v>
      </c>
      <c r="AM101" s="22">
        <v>0</v>
      </c>
      <c r="AN101" s="22">
        <v>0</v>
      </c>
      <c r="AO101" s="22">
        <v>0</v>
      </c>
      <c r="AP101" s="22">
        <v>0</v>
      </c>
      <c r="AQ101" s="22">
        <v>0</v>
      </c>
      <c r="AR101" s="23">
        <v>0</v>
      </c>
      <c r="AS101" s="23">
        <v>0</v>
      </c>
      <c r="AT101" s="22">
        <v>0</v>
      </c>
      <c r="AU101" s="22">
        <v>0</v>
      </c>
      <c r="AV101" s="22">
        <v>0</v>
      </c>
      <c r="AW101" s="12">
        <v>0</v>
      </c>
      <c r="AX101" s="19">
        <v>0</v>
      </c>
      <c r="AY101" s="22">
        <v>0</v>
      </c>
      <c r="AZ101" s="22">
        <v>0</v>
      </c>
      <c r="BA101" s="22">
        <v>0</v>
      </c>
      <c r="BB101" s="22">
        <v>0</v>
      </c>
      <c r="BC101" s="22">
        <v>0</v>
      </c>
      <c r="BD101" s="22">
        <v>0</v>
      </c>
      <c r="BE101" s="22">
        <v>0</v>
      </c>
      <c r="BF101" s="22">
        <v>0</v>
      </c>
      <c r="BG101" s="22">
        <v>0</v>
      </c>
      <c r="BH101" s="22">
        <v>0</v>
      </c>
      <c r="BI101" s="12">
        <v>0</v>
      </c>
      <c r="BJ101">
        <v>0</v>
      </c>
      <c r="BK101">
        <v>0</v>
      </c>
      <c r="BL101">
        <v>0</v>
      </c>
      <c r="BM101">
        <v>0</v>
      </c>
      <c r="BN101">
        <v>0</v>
      </c>
      <c r="BO101">
        <v>0</v>
      </c>
      <c r="BP101">
        <v>0</v>
      </c>
      <c r="BQ101">
        <v>0</v>
      </c>
      <c r="BR101">
        <v>0</v>
      </c>
      <c r="BS101">
        <v>0</v>
      </c>
      <c r="BT101">
        <v>1</v>
      </c>
      <c r="BU101">
        <v>0</v>
      </c>
      <c r="BV101" s="19">
        <v>0</v>
      </c>
      <c r="BW101" s="22">
        <v>0</v>
      </c>
      <c r="BX101" s="22">
        <v>0</v>
      </c>
      <c r="BY101" s="22">
        <v>0</v>
      </c>
      <c r="BZ101" s="22">
        <v>0</v>
      </c>
      <c r="CA101" s="22">
        <v>0</v>
      </c>
      <c r="CB101" s="22">
        <v>0</v>
      </c>
      <c r="CC101" s="22">
        <v>0</v>
      </c>
      <c r="CD101" s="22">
        <v>1</v>
      </c>
      <c r="CE101" s="22">
        <v>0</v>
      </c>
      <c r="CF101" s="22">
        <v>1</v>
      </c>
      <c r="CG101" s="22">
        <v>7</v>
      </c>
      <c r="CH101" s="788">
        <v>0</v>
      </c>
      <c r="CI101" s="22">
        <v>0</v>
      </c>
      <c r="CJ101" s="22">
        <v>0</v>
      </c>
      <c r="CK101" s="22">
        <v>0</v>
      </c>
      <c r="CL101" s="22">
        <v>1</v>
      </c>
      <c r="CM101" s="22">
        <v>0</v>
      </c>
      <c r="CN101" s="22">
        <v>0</v>
      </c>
      <c r="CO101" s="22">
        <v>0</v>
      </c>
      <c r="CP101" s="22">
        <v>0</v>
      </c>
      <c r="CQ101" s="22">
        <v>0</v>
      </c>
      <c r="CR101" s="22">
        <v>1</v>
      </c>
      <c r="CS101" s="12">
        <v>1</v>
      </c>
      <c r="CT101" s="788">
        <v>0</v>
      </c>
      <c r="CU101" s="22">
        <v>0</v>
      </c>
      <c r="CV101" s="22">
        <v>0</v>
      </c>
      <c r="CW101" s="22">
        <v>0</v>
      </c>
      <c r="CX101" s="22">
        <v>0</v>
      </c>
      <c r="CY101" s="22">
        <v>0</v>
      </c>
      <c r="CZ101" s="22">
        <v>0</v>
      </c>
      <c r="DA101" s="22">
        <v>0</v>
      </c>
      <c r="DB101" s="22">
        <v>0</v>
      </c>
      <c r="DC101" s="22">
        <v>1</v>
      </c>
      <c r="DD101" s="22">
        <v>0</v>
      </c>
      <c r="DE101" s="12">
        <v>0</v>
      </c>
      <c r="DF101" s="788">
        <v>0</v>
      </c>
      <c r="DG101" s="22">
        <v>0</v>
      </c>
      <c r="DH101" s="22">
        <v>0</v>
      </c>
      <c r="DI101" s="22">
        <v>0</v>
      </c>
      <c r="DJ101" s="22">
        <v>0</v>
      </c>
      <c r="DK101" s="22">
        <v>0</v>
      </c>
      <c r="DL101" s="22">
        <v>0</v>
      </c>
      <c r="DM101" s="22">
        <v>0</v>
      </c>
      <c r="DN101" s="22">
        <v>0</v>
      </c>
      <c r="DO101" s="22">
        <v>0</v>
      </c>
      <c r="DP101" s="22">
        <v>0</v>
      </c>
      <c r="DQ101" s="12">
        <v>0</v>
      </c>
      <c r="DR101" s="788">
        <v>0</v>
      </c>
      <c r="DS101" s="22">
        <v>0</v>
      </c>
      <c r="DT101" s="22">
        <v>0</v>
      </c>
      <c r="DU101" s="22">
        <v>0</v>
      </c>
      <c r="DV101" s="22">
        <v>0</v>
      </c>
      <c r="DW101" s="22">
        <v>0</v>
      </c>
      <c r="DX101" s="22">
        <v>0</v>
      </c>
      <c r="DY101" s="22">
        <v>0</v>
      </c>
      <c r="DZ101" s="22">
        <v>0</v>
      </c>
      <c r="EA101" s="22">
        <v>0</v>
      </c>
      <c r="EB101" s="22">
        <v>0</v>
      </c>
      <c r="EC101" s="12">
        <v>0</v>
      </c>
      <c r="ED101" s="12">
        <f t="shared" si="260"/>
        <v>14</v>
      </c>
      <c r="EF101" s="6">
        <f t="shared" si="261"/>
        <v>0</v>
      </c>
      <c r="EG101" s="19">
        <f t="shared" si="262"/>
        <v>0</v>
      </c>
      <c r="EH101" s="22">
        <f t="shared" si="263"/>
        <v>0</v>
      </c>
      <c r="EI101" s="22">
        <f t="shared" si="264"/>
        <v>0</v>
      </c>
      <c r="EJ101" s="12">
        <f t="shared" si="265"/>
        <v>0</v>
      </c>
      <c r="EK101" s="22">
        <f t="shared" si="266"/>
        <v>0</v>
      </c>
      <c r="EL101" s="22">
        <f t="shared" si="267"/>
        <v>0</v>
      </c>
      <c r="EM101" s="22">
        <f t="shared" si="268"/>
        <v>0</v>
      </c>
      <c r="EN101" s="22">
        <f t="shared" si="269"/>
        <v>0</v>
      </c>
      <c r="EO101" s="19">
        <f t="shared" si="298"/>
        <v>0</v>
      </c>
      <c r="EP101" s="22">
        <f t="shared" si="299"/>
        <v>0</v>
      </c>
      <c r="EQ101" s="22">
        <f t="shared" si="300"/>
        <v>0</v>
      </c>
      <c r="ER101" s="12">
        <f t="shared" si="301"/>
        <v>0</v>
      </c>
      <c r="ES101" s="90">
        <f t="shared" si="270"/>
        <v>0</v>
      </c>
      <c r="ET101" s="94">
        <f t="shared" si="271"/>
        <v>0</v>
      </c>
      <c r="EU101" s="94">
        <f t="shared" si="302"/>
        <v>0</v>
      </c>
      <c r="EV101" s="28">
        <f t="shared" si="303"/>
        <v>1</v>
      </c>
      <c r="EW101" s="90">
        <f t="shared" si="272"/>
        <v>0</v>
      </c>
      <c r="EX101" s="94">
        <f t="shared" si="273"/>
        <v>0</v>
      </c>
      <c r="EY101" s="94">
        <f t="shared" si="274"/>
        <v>1</v>
      </c>
      <c r="EZ101" s="28">
        <f t="shared" si="275"/>
        <v>8</v>
      </c>
      <c r="FA101" s="90">
        <f t="shared" si="304"/>
        <v>0</v>
      </c>
      <c r="FB101" s="94">
        <f t="shared" si="305"/>
        <v>1</v>
      </c>
      <c r="FC101" s="94">
        <f t="shared" si="306"/>
        <v>0</v>
      </c>
      <c r="FD101" s="28">
        <f t="shared" si="307"/>
        <v>2</v>
      </c>
      <c r="FE101" s="90">
        <f t="shared" si="276"/>
        <v>0</v>
      </c>
      <c r="FF101" s="94">
        <f t="shared" si="277"/>
        <v>0</v>
      </c>
      <c r="FG101" s="94">
        <f t="shared" si="278"/>
        <v>0</v>
      </c>
      <c r="FH101" s="28">
        <f t="shared" si="279"/>
        <v>1</v>
      </c>
      <c r="FI101" s="90">
        <f t="shared" si="280"/>
        <v>0</v>
      </c>
      <c r="FJ101" s="94">
        <f t="shared" si="281"/>
        <v>0</v>
      </c>
      <c r="FK101" s="94">
        <f t="shared" si="282"/>
        <v>0</v>
      </c>
      <c r="FL101" s="28">
        <f t="shared" si="283"/>
        <v>0</v>
      </c>
      <c r="FM101" s="90">
        <f t="shared" si="284"/>
        <v>0</v>
      </c>
      <c r="FN101" s="94">
        <f t="shared" si="285"/>
        <v>0</v>
      </c>
      <c r="FO101" s="94">
        <f t="shared" si="286"/>
        <v>0</v>
      </c>
      <c r="FP101" s="28">
        <f t="shared" si="287"/>
        <v>0</v>
      </c>
      <c r="FR101" s="125">
        <f t="shared" si="288"/>
        <v>0</v>
      </c>
      <c r="FS101" s="156">
        <f t="shared" si="289"/>
        <v>0</v>
      </c>
      <c r="FT101" s="156">
        <f t="shared" si="290"/>
        <v>0</v>
      </c>
      <c r="FU101" s="156">
        <f t="shared" si="291"/>
        <v>0</v>
      </c>
      <c r="FV101" s="137">
        <f t="shared" si="292"/>
        <v>1</v>
      </c>
      <c r="FW101" s="137">
        <f t="shared" si="293"/>
        <v>9</v>
      </c>
      <c r="FX101" s="22">
        <f t="shared" si="294"/>
        <v>3</v>
      </c>
      <c r="FY101" s="22">
        <f t="shared" si="295"/>
        <v>1</v>
      </c>
      <c r="FZ101" s="94">
        <f t="shared" si="296"/>
        <v>0</v>
      </c>
      <c r="GA101" s="28">
        <f t="shared" si="297"/>
        <v>0</v>
      </c>
    </row>
    <row r="102" spans="1:183">
      <c r="A102" s="219" t="s">
        <v>1735</v>
      </c>
      <c r="B102" s="76"/>
      <c r="C102">
        <v>0</v>
      </c>
      <c r="D102">
        <v>0</v>
      </c>
      <c r="E102">
        <v>0</v>
      </c>
      <c r="F102">
        <v>0</v>
      </c>
      <c r="G102">
        <v>0</v>
      </c>
      <c r="H102">
        <v>0</v>
      </c>
      <c r="I102">
        <v>0</v>
      </c>
      <c r="J102">
        <v>0</v>
      </c>
      <c r="K102">
        <v>0</v>
      </c>
      <c r="L102">
        <v>0</v>
      </c>
      <c r="M102">
        <v>0</v>
      </c>
      <c r="N102" s="19">
        <v>0</v>
      </c>
      <c r="O102" s="22">
        <v>0</v>
      </c>
      <c r="P102" s="22">
        <v>0</v>
      </c>
      <c r="Q102" s="22">
        <v>0</v>
      </c>
      <c r="R102" s="22">
        <v>0</v>
      </c>
      <c r="S102" s="22">
        <v>0</v>
      </c>
      <c r="T102" s="22">
        <v>0</v>
      </c>
      <c r="U102" s="22">
        <v>0</v>
      </c>
      <c r="V102" s="22">
        <v>0</v>
      </c>
      <c r="W102" s="22">
        <v>0</v>
      </c>
      <c r="X102" s="22">
        <v>1</v>
      </c>
      <c r="Y102" s="12">
        <v>0</v>
      </c>
      <c r="Z102">
        <v>3</v>
      </c>
      <c r="AA102">
        <v>0</v>
      </c>
      <c r="AB102">
        <v>0</v>
      </c>
      <c r="AC102">
        <v>0</v>
      </c>
      <c r="AD102">
        <v>0</v>
      </c>
      <c r="AE102">
        <v>0</v>
      </c>
      <c r="AF102">
        <v>2</v>
      </c>
      <c r="AG102">
        <v>0</v>
      </c>
      <c r="AH102">
        <v>0</v>
      </c>
      <c r="AI102">
        <v>1</v>
      </c>
      <c r="AJ102">
        <v>0</v>
      </c>
      <c r="AK102">
        <v>1</v>
      </c>
      <c r="AL102" s="19">
        <v>0</v>
      </c>
      <c r="AM102" s="22">
        <v>0</v>
      </c>
      <c r="AN102" s="22">
        <v>0</v>
      </c>
      <c r="AO102" s="22">
        <v>1</v>
      </c>
      <c r="AP102" s="22">
        <v>0</v>
      </c>
      <c r="AQ102" s="22">
        <v>0</v>
      </c>
      <c r="AR102" s="23">
        <v>0</v>
      </c>
      <c r="AS102" s="23">
        <v>2</v>
      </c>
      <c r="AT102" s="22">
        <v>1</v>
      </c>
      <c r="AU102" s="22">
        <v>0</v>
      </c>
      <c r="AV102" s="22">
        <v>1</v>
      </c>
      <c r="AW102" s="12">
        <v>0</v>
      </c>
      <c r="AX102" s="19">
        <v>0</v>
      </c>
      <c r="AY102" s="22">
        <v>0</v>
      </c>
      <c r="AZ102" s="22">
        <v>0</v>
      </c>
      <c r="BA102" s="22">
        <v>1</v>
      </c>
      <c r="BB102" s="22">
        <v>0</v>
      </c>
      <c r="BC102" s="22">
        <v>0</v>
      </c>
      <c r="BD102" s="22">
        <v>0</v>
      </c>
      <c r="BE102" s="22">
        <v>0</v>
      </c>
      <c r="BF102" s="22">
        <v>0</v>
      </c>
      <c r="BG102" s="22">
        <v>2</v>
      </c>
      <c r="BH102" s="22">
        <v>0</v>
      </c>
      <c r="BI102" s="12">
        <v>1</v>
      </c>
      <c r="BJ102">
        <v>2</v>
      </c>
      <c r="BK102">
        <v>0</v>
      </c>
      <c r="BL102">
        <v>0</v>
      </c>
      <c r="BM102">
        <v>0</v>
      </c>
      <c r="BN102">
        <v>1</v>
      </c>
      <c r="BO102">
        <v>1</v>
      </c>
      <c r="BP102">
        <v>0</v>
      </c>
      <c r="BQ102">
        <v>0</v>
      </c>
      <c r="BR102">
        <v>0</v>
      </c>
      <c r="BS102">
        <v>0</v>
      </c>
      <c r="BT102">
        <v>1</v>
      </c>
      <c r="BU102">
        <v>2</v>
      </c>
      <c r="BV102" s="19">
        <v>0</v>
      </c>
      <c r="BW102" s="22">
        <v>0</v>
      </c>
      <c r="BX102" s="22">
        <v>0</v>
      </c>
      <c r="BY102" s="22">
        <v>0</v>
      </c>
      <c r="BZ102" s="22">
        <v>0</v>
      </c>
      <c r="CA102" s="22">
        <v>1</v>
      </c>
      <c r="CB102" s="22">
        <v>3</v>
      </c>
      <c r="CC102" s="22">
        <v>0</v>
      </c>
      <c r="CD102" s="22">
        <v>0</v>
      </c>
      <c r="CE102" s="22">
        <v>0</v>
      </c>
      <c r="CF102" s="22">
        <v>0</v>
      </c>
      <c r="CG102" s="22">
        <v>0</v>
      </c>
      <c r="CH102" s="788">
        <v>0</v>
      </c>
      <c r="CI102" s="22">
        <v>1</v>
      </c>
      <c r="CJ102" s="22">
        <v>1</v>
      </c>
      <c r="CK102" s="22">
        <v>0</v>
      </c>
      <c r="CL102" s="22">
        <v>0</v>
      </c>
      <c r="CM102" s="22">
        <v>1</v>
      </c>
      <c r="CN102" s="22">
        <v>1</v>
      </c>
      <c r="CO102" s="22">
        <v>1</v>
      </c>
      <c r="CP102" s="22">
        <v>1</v>
      </c>
      <c r="CQ102" s="22">
        <v>2</v>
      </c>
      <c r="CR102" s="22">
        <v>2</v>
      </c>
      <c r="CS102" s="12">
        <v>1</v>
      </c>
      <c r="CT102" s="788">
        <v>0</v>
      </c>
      <c r="CU102" s="22">
        <v>0</v>
      </c>
      <c r="CV102" s="22">
        <v>0</v>
      </c>
      <c r="CW102" s="22">
        <v>0</v>
      </c>
      <c r="CX102" s="22">
        <v>0</v>
      </c>
      <c r="CY102" s="22">
        <v>0</v>
      </c>
      <c r="CZ102" s="22">
        <v>0</v>
      </c>
      <c r="DA102" s="22">
        <v>0</v>
      </c>
      <c r="DB102" s="22">
        <v>0</v>
      </c>
      <c r="DC102" s="22">
        <v>0</v>
      </c>
      <c r="DD102" s="22">
        <v>0</v>
      </c>
      <c r="DE102" s="12">
        <v>0</v>
      </c>
      <c r="DF102" s="788">
        <v>0</v>
      </c>
      <c r="DG102" s="22">
        <v>0</v>
      </c>
      <c r="DH102" s="22">
        <v>0</v>
      </c>
      <c r="DI102" s="22">
        <v>0</v>
      </c>
      <c r="DJ102" s="22">
        <v>0</v>
      </c>
      <c r="DK102" s="22">
        <v>0</v>
      </c>
      <c r="DL102" s="22">
        <v>0</v>
      </c>
      <c r="DM102" s="22">
        <v>0</v>
      </c>
      <c r="DN102" s="22">
        <v>0</v>
      </c>
      <c r="DO102" s="22">
        <v>0</v>
      </c>
      <c r="DP102" s="22">
        <v>0</v>
      </c>
      <c r="DQ102" s="12">
        <v>0</v>
      </c>
      <c r="DR102" s="788">
        <v>0</v>
      </c>
      <c r="DS102" s="22">
        <v>0</v>
      </c>
      <c r="DT102" s="22">
        <v>0</v>
      </c>
      <c r="DU102" s="22">
        <v>0</v>
      </c>
      <c r="DV102" s="22">
        <v>0</v>
      </c>
      <c r="DW102" s="22">
        <v>0</v>
      </c>
      <c r="DX102" s="22">
        <v>0</v>
      </c>
      <c r="DY102" s="22">
        <v>0</v>
      </c>
      <c r="DZ102" s="22">
        <v>0</v>
      </c>
      <c r="EA102" s="22">
        <v>0</v>
      </c>
      <c r="EB102" s="22">
        <v>0</v>
      </c>
      <c r="EC102" s="12">
        <v>0</v>
      </c>
      <c r="ED102" s="12">
        <f t="shared" si="260"/>
        <v>39</v>
      </c>
      <c r="EF102" s="6">
        <f t="shared" si="261"/>
        <v>1</v>
      </c>
      <c r="EG102" s="19">
        <f t="shared" si="262"/>
        <v>3</v>
      </c>
      <c r="EH102" s="22">
        <f t="shared" si="263"/>
        <v>0</v>
      </c>
      <c r="EI102" s="22">
        <f t="shared" si="264"/>
        <v>2</v>
      </c>
      <c r="EJ102" s="12">
        <f t="shared" si="265"/>
        <v>2</v>
      </c>
      <c r="EK102" s="22">
        <f t="shared" si="266"/>
        <v>0</v>
      </c>
      <c r="EL102" s="22">
        <f t="shared" si="267"/>
        <v>1</v>
      </c>
      <c r="EM102" s="22">
        <f t="shared" si="268"/>
        <v>3</v>
      </c>
      <c r="EN102" s="22">
        <f t="shared" si="269"/>
        <v>1</v>
      </c>
      <c r="EO102" s="19">
        <f t="shared" si="298"/>
        <v>0</v>
      </c>
      <c r="EP102" s="22">
        <f t="shared" si="299"/>
        <v>1</v>
      </c>
      <c r="EQ102" s="22">
        <f t="shared" si="300"/>
        <v>0</v>
      </c>
      <c r="ER102" s="12">
        <f t="shared" si="301"/>
        <v>3</v>
      </c>
      <c r="ES102" s="90">
        <f t="shared" si="270"/>
        <v>2</v>
      </c>
      <c r="ET102" s="94">
        <f t="shared" si="271"/>
        <v>2</v>
      </c>
      <c r="EU102" s="94">
        <f t="shared" si="302"/>
        <v>0</v>
      </c>
      <c r="EV102" s="28">
        <f t="shared" si="303"/>
        <v>3</v>
      </c>
      <c r="EW102" s="90">
        <f t="shared" si="272"/>
        <v>0</v>
      </c>
      <c r="EX102" s="94">
        <f t="shared" si="273"/>
        <v>1</v>
      </c>
      <c r="EY102" s="94">
        <f t="shared" si="274"/>
        <v>3</v>
      </c>
      <c r="EZ102" s="28">
        <f t="shared" si="275"/>
        <v>0</v>
      </c>
      <c r="FA102" s="90">
        <f t="shared" si="304"/>
        <v>2</v>
      </c>
      <c r="FB102" s="94">
        <f t="shared" si="305"/>
        <v>1</v>
      </c>
      <c r="FC102" s="94">
        <f t="shared" si="306"/>
        <v>3</v>
      </c>
      <c r="FD102" s="28">
        <f t="shared" si="307"/>
        <v>5</v>
      </c>
      <c r="FE102" s="90">
        <f t="shared" si="276"/>
        <v>0</v>
      </c>
      <c r="FF102" s="94">
        <f t="shared" si="277"/>
        <v>0</v>
      </c>
      <c r="FG102" s="94">
        <f t="shared" si="278"/>
        <v>0</v>
      </c>
      <c r="FH102" s="28">
        <f t="shared" si="279"/>
        <v>0</v>
      </c>
      <c r="FI102" s="90">
        <f t="shared" si="280"/>
        <v>0</v>
      </c>
      <c r="FJ102" s="94">
        <f t="shared" si="281"/>
        <v>0</v>
      </c>
      <c r="FK102" s="94">
        <f t="shared" si="282"/>
        <v>0</v>
      </c>
      <c r="FL102" s="28">
        <f t="shared" si="283"/>
        <v>0</v>
      </c>
      <c r="FM102" s="90">
        <f t="shared" si="284"/>
        <v>0</v>
      </c>
      <c r="FN102" s="94">
        <f t="shared" si="285"/>
        <v>0</v>
      </c>
      <c r="FO102" s="94">
        <f t="shared" si="286"/>
        <v>0</v>
      </c>
      <c r="FP102" s="28">
        <f t="shared" si="287"/>
        <v>0</v>
      </c>
      <c r="FR102" s="125">
        <f t="shared" si="288"/>
        <v>1</v>
      </c>
      <c r="FS102" s="156">
        <f t="shared" si="289"/>
        <v>7</v>
      </c>
      <c r="FT102" s="156">
        <f t="shared" si="290"/>
        <v>5</v>
      </c>
      <c r="FU102" s="156">
        <f t="shared" si="291"/>
        <v>4</v>
      </c>
      <c r="FV102" s="137">
        <f t="shared" si="292"/>
        <v>7</v>
      </c>
      <c r="FW102" s="137">
        <f t="shared" si="293"/>
        <v>4</v>
      </c>
      <c r="FX102" s="22">
        <f t="shared" si="294"/>
        <v>11</v>
      </c>
      <c r="FY102" s="22">
        <f t="shared" si="295"/>
        <v>0</v>
      </c>
      <c r="FZ102" s="94">
        <f t="shared" si="296"/>
        <v>0</v>
      </c>
      <c r="GA102" s="28">
        <f t="shared" si="297"/>
        <v>0</v>
      </c>
    </row>
    <row r="103" spans="1:183">
      <c r="A103" s="136" t="s">
        <v>1588</v>
      </c>
      <c r="B103" s="76"/>
      <c r="C103">
        <v>0</v>
      </c>
      <c r="D103">
        <v>0</v>
      </c>
      <c r="E103">
        <v>0</v>
      </c>
      <c r="F103">
        <v>0</v>
      </c>
      <c r="G103">
        <v>0</v>
      </c>
      <c r="H103">
        <v>0</v>
      </c>
      <c r="I103">
        <v>0</v>
      </c>
      <c r="J103">
        <v>0</v>
      </c>
      <c r="K103">
        <v>0</v>
      </c>
      <c r="L103">
        <v>0</v>
      </c>
      <c r="M103">
        <v>0</v>
      </c>
      <c r="N103" s="19">
        <v>0</v>
      </c>
      <c r="O103" s="22">
        <v>0</v>
      </c>
      <c r="P103" s="22">
        <v>0</v>
      </c>
      <c r="Q103" s="22">
        <v>0</v>
      </c>
      <c r="R103" s="22">
        <v>0</v>
      </c>
      <c r="S103" s="22">
        <v>0</v>
      </c>
      <c r="T103" s="22">
        <v>0</v>
      </c>
      <c r="U103" s="22">
        <v>0</v>
      </c>
      <c r="V103" s="22">
        <v>0</v>
      </c>
      <c r="W103" s="22">
        <v>0</v>
      </c>
      <c r="X103" s="22">
        <v>0</v>
      </c>
      <c r="Y103" s="12">
        <v>1</v>
      </c>
      <c r="Z103">
        <v>1</v>
      </c>
      <c r="AA103">
        <v>0</v>
      </c>
      <c r="AB103">
        <v>0</v>
      </c>
      <c r="AC103">
        <v>0</v>
      </c>
      <c r="AD103">
        <v>0</v>
      </c>
      <c r="AE103">
        <v>0</v>
      </c>
      <c r="AF103">
        <v>1</v>
      </c>
      <c r="AG103">
        <v>1</v>
      </c>
      <c r="AH103">
        <v>0</v>
      </c>
      <c r="AI103">
        <v>0</v>
      </c>
      <c r="AJ103">
        <v>2</v>
      </c>
      <c r="AK103">
        <v>0</v>
      </c>
      <c r="AL103" s="19">
        <v>0</v>
      </c>
      <c r="AM103" s="22">
        <v>0</v>
      </c>
      <c r="AN103" s="22">
        <v>2</v>
      </c>
      <c r="AO103" s="22">
        <v>0</v>
      </c>
      <c r="AP103" s="22">
        <v>0</v>
      </c>
      <c r="AQ103" s="22">
        <v>0</v>
      </c>
      <c r="AR103" s="23">
        <v>0</v>
      </c>
      <c r="AS103" s="23">
        <v>0</v>
      </c>
      <c r="AT103" s="22">
        <v>0</v>
      </c>
      <c r="AU103" s="22">
        <v>0</v>
      </c>
      <c r="AV103" s="22">
        <v>0</v>
      </c>
      <c r="AW103" s="12">
        <v>1</v>
      </c>
      <c r="AX103" s="19">
        <v>0</v>
      </c>
      <c r="AY103" s="22">
        <v>0</v>
      </c>
      <c r="AZ103" s="22">
        <v>1</v>
      </c>
      <c r="BA103" s="22">
        <v>0</v>
      </c>
      <c r="BB103" s="22">
        <v>0</v>
      </c>
      <c r="BC103" s="22">
        <v>0</v>
      </c>
      <c r="BD103" s="22">
        <v>1</v>
      </c>
      <c r="BE103" s="22">
        <v>0</v>
      </c>
      <c r="BF103" s="22">
        <v>0</v>
      </c>
      <c r="BG103" s="22">
        <v>2</v>
      </c>
      <c r="BH103" s="22">
        <v>0</v>
      </c>
      <c r="BI103" s="12">
        <v>0</v>
      </c>
      <c r="BJ103">
        <v>0</v>
      </c>
      <c r="BK103">
        <v>0</v>
      </c>
      <c r="BL103">
        <v>0</v>
      </c>
      <c r="BM103">
        <v>2</v>
      </c>
      <c r="BN103">
        <v>3</v>
      </c>
      <c r="BO103">
        <v>0</v>
      </c>
      <c r="BP103">
        <v>0</v>
      </c>
      <c r="BQ103">
        <v>0</v>
      </c>
      <c r="BR103">
        <v>0</v>
      </c>
      <c r="BS103">
        <v>0</v>
      </c>
      <c r="BT103">
        <v>0</v>
      </c>
      <c r="BU103">
        <v>1</v>
      </c>
      <c r="BV103" s="19">
        <v>0</v>
      </c>
      <c r="BW103" s="22">
        <v>0</v>
      </c>
      <c r="BX103" s="22">
        <v>1</v>
      </c>
      <c r="BY103" s="22">
        <v>0</v>
      </c>
      <c r="BZ103" s="22">
        <v>0</v>
      </c>
      <c r="CA103" s="22">
        <v>0</v>
      </c>
      <c r="CB103" s="22">
        <v>0</v>
      </c>
      <c r="CC103" s="22">
        <v>0</v>
      </c>
      <c r="CD103" s="22">
        <v>1</v>
      </c>
      <c r="CE103" s="22">
        <v>0</v>
      </c>
      <c r="CF103" s="22">
        <v>0</v>
      </c>
      <c r="CG103" s="22">
        <v>1</v>
      </c>
      <c r="CH103" s="788">
        <v>0</v>
      </c>
      <c r="CI103" s="22">
        <v>0</v>
      </c>
      <c r="CJ103" s="22">
        <v>1</v>
      </c>
      <c r="CK103" s="22">
        <v>0</v>
      </c>
      <c r="CL103" s="22">
        <v>0</v>
      </c>
      <c r="CM103" s="22">
        <v>1</v>
      </c>
      <c r="CN103" s="22">
        <v>3</v>
      </c>
      <c r="CO103" s="22">
        <v>0</v>
      </c>
      <c r="CP103" s="22">
        <v>0</v>
      </c>
      <c r="CQ103" s="22">
        <v>1</v>
      </c>
      <c r="CR103" s="22">
        <v>1</v>
      </c>
      <c r="CS103" s="12">
        <v>0</v>
      </c>
      <c r="CT103" s="788">
        <v>0</v>
      </c>
      <c r="CU103" s="22">
        <v>0</v>
      </c>
      <c r="CV103" s="22">
        <v>0</v>
      </c>
      <c r="CW103" s="22">
        <v>0</v>
      </c>
      <c r="CX103" s="22">
        <v>0</v>
      </c>
      <c r="CY103" s="22">
        <v>0</v>
      </c>
      <c r="CZ103" s="22">
        <v>0</v>
      </c>
      <c r="DA103" s="22">
        <v>0</v>
      </c>
      <c r="DB103" s="22">
        <v>0</v>
      </c>
      <c r="DC103" s="22">
        <v>0</v>
      </c>
      <c r="DD103" s="22">
        <v>0</v>
      </c>
      <c r="DE103" s="12">
        <v>0</v>
      </c>
      <c r="DF103" s="788">
        <v>0</v>
      </c>
      <c r="DG103" s="22">
        <v>0</v>
      </c>
      <c r="DH103" s="22">
        <v>0</v>
      </c>
      <c r="DI103" s="22">
        <v>0</v>
      </c>
      <c r="DJ103" s="22">
        <v>0</v>
      </c>
      <c r="DK103" s="22">
        <v>0</v>
      </c>
      <c r="DL103" s="22">
        <v>0</v>
      </c>
      <c r="DM103" s="22">
        <v>0</v>
      </c>
      <c r="DN103" s="22">
        <v>0</v>
      </c>
      <c r="DO103" s="22">
        <v>0</v>
      </c>
      <c r="DP103" s="22">
        <v>0</v>
      </c>
      <c r="DQ103" s="12">
        <v>0</v>
      </c>
      <c r="DR103" s="788">
        <v>0</v>
      </c>
      <c r="DS103" s="22">
        <v>0</v>
      </c>
      <c r="DT103" s="22">
        <v>0</v>
      </c>
      <c r="DU103" s="22">
        <v>0</v>
      </c>
      <c r="DV103" s="22">
        <v>0</v>
      </c>
      <c r="DW103" s="22">
        <v>0</v>
      </c>
      <c r="DX103" s="22">
        <v>0</v>
      </c>
      <c r="DY103" s="22">
        <v>0</v>
      </c>
      <c r="DZ103" s="22">
        <v>0</v>
      </c>
      <c r="EA103" s="22">
        <v>0</v>
      </c>
      <c r="EB103" s="22">
        <v>0</v>
      </c>
      <c r="EC103" s="12">
        <v>0</v>
      </c>
      <c r="ED103" s="12">
        <f t="shared" si="260"/>
        <v>29</v>
      </c>
      <c r="EF103" s="6">
        <f t="shared" si="261"/>
        <v>1</v>
      </c>
      <c r="EG103" s="19">
        <f t="shared" si="262"/>
        <v>1</v>
      </c>
      <c r="EH103" s="22">
        <f t="shared" si="263"/>
        <v>0</v>
      </c>
      <c r="EI103" s="22">
        <f t="shared" si="264"/>
        <v>2</v>
      </c>
      <c r="EJ103" s="12">
        <f t="shared" si="265"/>
        <v>2</v>
      </c>
      <c r="EK103" s="22">
        <f t="shared" si="266"/>
        <v>2</v>
      </c>
      <c r="EL103" s="22">
        <f t="shared" si="267"/>
        <v>0</v>
      </c>
      <c r="EM103" s="22">
        <f t="shared" si="268"/>
        <v>0</v>
      </c>
      <c r="EN103" s="22">
        <f t="shared" si="269"/>
        <v>1</v>
      </c>
      <c r="EO103" s="19">
        <f t="shared" si="298"/>
        <v>1</v>
      </c>
      <c r="EP103" s="22">
        <f t="shared" si="299"/>
        <v>0</v>
      </c>
      <c r="EQ103" s="22">
        <f t="shared" si="300"/>
        <v>1</v>
      </c>
      <c r="ER103" s="12">
        <f t="shared" si="301"/>
        <v>2</v>
      </c>
      <c r="ES103" s="90">
        <f t="shared" si="270"/>
        <v>0</v>
      </c>
      <c r="ET103" s="94">
        <f t="shared" si="271"/>
        <v>5</v>
      </c>
      <c r="EU103" s="94">
        <f t="shared" si="302"/>
        <v>0</v>
      </c>
      <c r="EV103" s="28">
        <f t="shared" si="303"/>
        <v>1</v>
      </c>
      <c r="EW103" s="90">
        <f t="shared" si="272"/>
        <v>1</v>
      </c>
      <c r="EX103" s="94">
        <f t="shared" si="273"/>
        <v>0</v>
      </c>
      <c r="EY103" s="94">
        <f t="shared" si="274"/>
        <v>1</v>
      </c>
      <c r="EZ103" s="28">
        <f t="shared" si="275"/>
        <v>1</v>
      </c>
      <c r="FA103" s="90">
        <f t="shared" si="304"/>
        <v>1</v>
      </c>
      <c r="FB103" s="94">
        <f t="shared" si="305"/>
        <v>1</v>
      </c>
      <c r="FC103" s="94">
        <f t="shared" si="306"/>
        <v>3</v>
      </c>
      <c r="FD103" s="28">
        <f t="shared" si="307"/>
        <v>2</v>
      </c>
      <c r="FE103" s="90">
        <f t="shared" si="276"/>
        <v>0</v>
      </c>
      <c r="FF103" s="94">
        <f t="shared" si="277"/>
        <v>0</v>
      </c>
      <c r="FG103" s="94">
        <f t="shared" si="278"/>
        <v>0</v>
      </c>
      <c r="FH103" s="28">
        <f t="shared" si="279"/>
        <v>0</v>
      </c>
      <c r="FI103" s="90">
        <f t="shared" si="280"/>
        <v>0</v>
      </c>
      <c r="FJ103" s="94">
        <f t="shared" si="281"/>
        <v>0</v>
      </c>
      <c r="FK103" s="94">
        <f t="shared" si="282"/>
        <v>0</v>
      </c>
      <c r="FL103" s="28">
        <f t="shared" si="283"/>
        <v>0</v>
      </c>
      <c r="FM103" s="90">
        <f t="shared" si="284"/>
        <v>0</v>
      </c>
      <c r="FN103" s="94">
        <f t="shared" si="285"/>
        <v>0</v>
      </c>
      <c r="FO103" s="94">
        <f t="shared" si="286"/>
        <v>0</v>
      </c>
      <c r="FP103" s="28">
        <f t="shared" si="287"/>
        <v>0</v>
      </c>
      <c r="FR103" s="125">
        <f t="shared" si="288"/>
        <v>1</v>
      </c>
      <c r="FS103" s="156">
        <f t="shared" si="289"/>
        <v>5</v>
      </c>
      <c r="FT103" s="156">
        <f t="shared" si="290"/>
        <v>3</v>
      </c>
      <c r="FU103" s="156">
        <f t="shared" si="291"/>
        <v>4</v>
      </c>
      <c r="FV103" s="137">
        <f t="shared" si="292"/>
        <v>6</v>
      </c>
      <c r="FW103" s="137">
        <f t="shared" si="293"/>
        <v>3</v>
      </c>
      <c r="FX103" s="22">
        <f t="shared" si="294"/>
        <v>7</v>
      </c>
      <c r="FY103" s="22">
        <f t="shared" si="295"/>
        <v>0</v>
      </c>
      <c r="FZ103" s="94">
        <f t="shared" si="296"/>
        <v>0</v>
      </c>
      <c r="GA103" s="28">
        <f t="shared" si="297"/>
        <v>0</v>
      </c>
    </row>
    <row r="104" spans="1:183">
      <c r="A104" s="136" t="s">
        <v>720</v>
      </c>
      <c r="B104" s="76"/>
      <c r="C104">
        <v>0</v>
      </c>
      <c r="D104">
        <v>0</v>
      </c>
      <c r="E104">
        <v>0</v>
      </c>
      <c r="F104">
        <v>0</v>
      </c>
      <c r="G104">
        <v>0</v>
      </c>
      <c r="H104">
        <v>0</v>
      </c>
      <c r="I104">
        <v>0</v>
      </c>
      <c r="J104">
        <v>0</v>
      </c>
      <c r="K104">
        <v>0</v>
      </c>
      <c r="L104">
        <v>0</v>
      </c>
      <c r="M104">
        <v>0</v>
      </c>
      <c r="N104" s="19">
        <v>0</v>
      </c>
      <c r="O104" s="22">
        <v>0</v>
      </c>
      <c r="P104" s="22">
        <v>0</v>
      </c>
      <c r="Q104" s="22">
        <v>0</v>
      </c>
      <c r="R104" s="22">
        <v>0</v>
      </c>
      <c r="S104" s="22">
        <v>0</v>
      </c>
      <c r="T104" s="22">
        <v>0</v>
      </c>
      <c r="U104" s="22">
        <v>0</v>
      </c>
      <c r="V104" s="22">
        <v>0</v>
      </c>
      <c r="W104" s="22">
        <v>0</v>
      </c>
      <c r="X104" s="22">
        <v>2</v>
      </c>
      <c r="Y104" s="12">
        <v>5</v>
      </c>
      <c r="Z104">
        <v>1</v>
      </c>
      <c r="AA104">
        <v>0</v>
      </c>
      <c r="AB104">
        <v>1</v>
      </c>
      <c r="AC104">
        <v>0</v>
      </c>
      <c r="AD104">
        <v>1</v>
      </c>
      <c r="AE104">
        <v>4</v>
      </c>
      <c r="AF104">
        <v>2</v>
      </c>
      <c r="AG104">
        <v>0</v>
      </c>
      <c r="AH104">
        <v>0</v>
      </c>
      <c r="AI104">
        <v>5</v>
      </c>
      <c r="AJ104">
        <v>3</v>
      </c>
      <c r="AK104">
        <v>0</v>
      </c>
      <c r="AL104" s="19">
        <v>2</v>
      </c>
      <c r="AM104" s="22">
        <v>1</v>
      </c>
      <c r="AN104" s="22">
        <v>3</v>
      </c>
      <c r="AO104" s="22">
        <v>0</v>
      </c>
      <c r="AP104" s="22">
        <v>0</v>
      </c>
      <c r="AQ104" s="22">
        <v>1</v>
      </c>
      <c r="AR104" s="23">
        <v>0</v>
      </c>
      <c r="AS104" s="23">
        <v>1</v>
      </c>
      <c r="AT104" s="22">
        <v>0</v>
      </c>
      <c r="AU104" s="22">
        <v>1</v>
      </c>
      <c r="AV104" s="22">
        <v>0</v>
      </c>
      <c r="AW104" s="12">
        <v>0</v>
      </c>
      <c r="AX104" s="19">
        <v>0</v>
      </c>
      <c r="AY104" s="22">
        <v>1</v>
      </c>
      <c r="AZ104" s="22">
        <v>0</v>
      </c>
      <c r="BA104" s="22">
        <v>0</v>
      </c>
      <c r="BB104" s="22">
        <v>1</v>
      </c>
      <c r="BC104" s="22">
        <v>0</v>
      </c>
      <c r="BD104" s="22">
        <v>1</v>
      </c>
      <c r="BE104" s="22">
        <v>0</v>
      </c>
      <c r="BF104" s="22">
        <v>0</v>
      </c>
      <c r="BG104" s="22">
        <v>0</v>
      </c>
      <c r="BH104" s="22">
        <v>0</v>
      </c>
      <c r="BI104" s="12">
        <v>0</v>
      </c>
      <c r="BJ104">
        <v>1</v>
      </c>
      <c r="BK104">
        <v>0</v>
      </c>
      <c r="BL104">
        <v>0</v>
      </c>
      <c r="BM104">
        <v>0</v>
      </c>
      <c r="BN104">
        <v>0</v>
      </c>
      <c r="BO104">
        <v>1</v>
      </c>
      <c r="BP104">
        <v>0</v>
      </c>
      <c r="BQ104">
        <v>1</v>
      </c>
      <c r="BR104">
        <v>0</v>
      </c>
      <c r="BS104">
        <v>0</v>
      </c>
      <c r="BT104">
        <v>0</v>
      </c>
      <c r="BU104">
        <v>1</v>
      </c>
      <c r="BV104" s="19">
        <v>0</v>
      </c>
      <c r="BW104" s="22">
        <v>1</v>
      </c>
      <c r="BX104" s="22">
        <v>1</v>
      </c>
      <c r="BY104" s="22">
        <v>0</v>
      </c>
      <c r="BZ104" s="22">
        <v>0</v>
      </c>
      <c r="CA104" s="22">
        <v>0</v>
      </c>
      <c r="CB104" s="22">
        <v>3</v>
      </c>
      <c r="CC104" s="22">
        <v>1</v>
      </c>
      <c r="CD104" s="22">
        <v>2</v>
      </c>
      <c r="CE104" s="22">
        <v>7</v>
      </c>
      <c r="CF104" s="22">
        <v>4</v>
      </c>
      <c r="CG104" s="22">
        <v>3</v>
      </c>
      <c r="CH104" s="788">
        <v>0</v>
      </c>
      <c r="CI104" s="22">
        <v>0</v>
      </c>
      <c r="CJ104" s="22">
        <v>3</v>
      </c>
      <c r="CK104" s="22">
        <v>2</v>
      </c>
      <c r="CL104" s="22">
        <v>4</v>
      </c>
      <c r="CM104" s="22">
        <v>0</v>
      </c>
      <c r="CN104" s="22">
        <v>5</v>
      </c>
      <c r="CO104" s="22">
        <v>12</v>
      </c>
      <c r="CP104" s="22">
        <v>6</v>
      </c>
      <c r="CQ104" s="22">
        <v>29</v>
      </c>
      <c r="CR104" s="22">
        <v>17</v>
      </c>
      <c r="CS104" s="12">
        <v>32</v>
      </c>
      <c r="CT104" s="788">
        <v>0</v>
      </c>
      <c r="CU104" s="22">
        <v>0</v>
      </c>
      <c r="CV104" s="22">
        <v>0</v>
      </c>
      <c r="CW104" s="22">
        <v>0</v>
      </c>
      <c r="CX104" s="22">
        <v>1</v>
      </c>
      <c r="CY104" s="22">
        <v>0</v>
      </c>
      <c r="CZ104" s="22">
        <v>0</v>
      </c>
      <c r="DA104" s="22">
        <v>0</v>
      </c>
      <c r="DB104" s="22">
        <v>0</v>
      </c>
      <c r="DC104" s="22">
        <v>0</v>
      </c>
      <c r="DD104" s="22">
        <v>0</v>
      </c>
      <c r="DE104" s="12">
        <v>0</v>
      </c>
      <c r="DF104" s="788">
        <v>0</v>
      </c>
      <c r="DG104" s="22">
        <v>0</v>
      </c>
      <c r="DH104" s="22">
        <v>0</v>
      </c>
      <c r="DI104" s="22">
        <v>0</v>
      </c>
      <c r="DJ104" s="22">
        <v>0</v>
      </c>
      <c r="DK104" s="22">
        <v>0</v>
      </c>
      <c r="DL104" s="22">
        <v>0</v>
      </c>
      <c r="DM104" s="22">
        <v>0</v>
      </c>
      <c r="DN104" s="22">
        <v>0</v>
      </c>
      <c r="DO104" s="22">
        <v>0</v>
      </c>
      <c r="DP104" s="22">
        <v>0</v>
      </c>
      <c r="DQ104" s="12">
        <v>0</v>
      </c>
      <c r="DR104" s="788">
        <v>0</v>
      </c>
      <c r="DS104" s="22">
        <v>0</v>
      </c>
      <c r="DT104" s="22">
        <v>0</v>
      </c>
      <c r="DU104" s="22">
        <v>0</v>
      </c>
      <c r="DV104" s="22">
        <v>0</v>
      </c>
      <c r="DW104" s="22">
        <v>0</v>
      </c>
      <c r="DX104" s="22">
        <v>0</v>
      </c>
      <c r="DY104" s="22">
        <v>0</v>
      </c>
      <c r="DZ104" s="22">
        <v>0</v>
      </c>
      <c r="EA104" s="22">
        <v>0</v>
      </c>
      <c r="EB104" s="22">
        <v>0</v>
      </c>
      <c r="EC104" s="12">
        <v>0</v>
      </c>
      <c r="ED104" s="12">
        <f t="shared" si="260"/>
        <v>173</v>
      </c>
      <c r="EF104" s="6">
        <f t="shared" si="261"/>
        <v>7</v>
      </c>
      <c r="EG104" s="19">
        <f t="shared" si="262"/>
        <v>2</v>
      </c>
      <c r="EH104" s="22">
        <f t="shared" si="263"/>
        <v>5</v>
      </c>
      <c r="EI104" s="22">
        <f t="shared" si="264"/>
        <v>2</v>
      </c>
      <c r="EJ104" s="12">
        <f t="shared" si="265"/>
        <v>8</v>
      </c>
      <c r="EK104" s="22">
        <f t="shared" si="266"/>
        <v>6</v>
      </c>
      <c r="EL104" s="22">
        <f t="shared" si="267"/>
        <v>1</v>
      </c>
      <c r="EM104" s="22">
        <f t="shared" si="268"/>
        <v>1</v>
      </c>
      <c r="EN104" s="22">
        <f t="shared" si="269"/>
        <v>1</v>
      </c>
      <c r="EO104" s="19">
        <f t="shared" si="298"/>
        <v>1</v>
      </c>
      <c r="EP104" s="22">
        <f t="shared" si="299"/>
        <v>1</v>
      </c>
      <c r="EQ104" s="22">
        <f t="shared" si="300"/>
        <v>1</v>
      </c>
      <c r="ER104" s="12">
        <f t="shared" si="301"/>
        <v>0</v>
      </c>
      <c r="ES104" s="90">
        <f t="shared" si="270"/>
        <v>1</v>
      </c>
      <c r="ET104" s="94">
        <f t="shared" si="271"/>
        <v>1</v>
      </c>
      <c r="EU104" s="94">
        <f t="shared" si="302"/>
        <v>1</v>
      </c>
      <c r="EV104" s="28">
        <f t="shared" si="303"/>
        <v>1</v>
      </c>
      <c r="EW104" s="90">
        <f t="shared" si="272"/>
        <v>2</v>
      </c>
      <c r="EX104" s="94">
        <f t="shared" si="273"/>
        <v>0</v>
      </c>
      <c r="EY104" s="94">
        <f t="shared" si="274"/>
        <v>6</v>
      </c>
      <c r="EZ104" s="28">
        <f t="shared" si="275"/>
        <v>14</v>
      </c>
      <c r="FA104" s="90">
        <f t="shared" si="304"/>
        <v>3</v>
      </c>
      <c r="FB104" s="94">
        <f t="shared" si="305"/>
        <v>6</v>
      </c>
      <c r="FC104" s="94">
        <f t="shared" si="306"/>
        <v>23</v>
      </c>
      <c r="FD104" s="28">
        <f t="shared" si="307"/>
        <v>78</v>
      </c>
      <c r="FE104" s="90">
        <f t="shared" si="276"/>
        <v>0</v>
      </c>
      <c r="FF104" s="94">
        <f t="shared" si="277"/>
        <v>1</v>
      </c>
      <c r="FG104" s="94">
        <f t="shared" si="278"/>
        <v>0</v>
      </c>
      <c r="FH104" s="28">
        <f t="shared" si="279"/>
        <v>0</v>
      </c>
      <c r="FI104" s="90">
        <f t="shared" si="280"/>
        <v>0</v>
      </c>
      <c r="FJ104" s="94">
        <f t="shared" si="281"/>
        <v>0</v>
      </c>
      <c r="FK104" s="94">
        <f t="shared" si="282"/>
        <v>0</v>
      </c>
      <c r="FL104" s="28">
        <f t="shared" si="283"/>
        <v>0</v>
      </c>
      <c r="FM104" s="90">
        <f t="shared" si="284"/>
        <v>0</v>
      </c>
      <c r="FN104" s="94">
        <f t="shared" si="285"/>
        <v>0</v>
      </c>
      <c r="FO104" s="94">
        <f t="shared" si="286"/>
        <v>0</v>
      </c>
      <c r="FP104" s="28">
        <f t="shared" si="287"/>
        <v>0</v>
      </c>
      <c r="FR104" s="125">
        <f t="shared" si="288"/>
        <v>7</v>
      </c>
      <c r="FS104" s="156">
        <f t="shared" si="289"/>
        <v>17</v>
      </c>
      <c r="FT104" s="156">
        <f t="shared" si="290"/>
        <v>9</v>
      </c>
      <c r="FU104" s="156">
        <f t="shared" si="291"/>
        <v>3</v>
      </c>
      <c r="FV104" s="137">
        <f t="shared" si="292"/>
        <v>4</v>
      </c>
      <c r="FW104" s="137">
        <f t="shared" si="293"/>
        <v>22</v>
      </c>
      <c r="FX104" s="22">
        <f t="shared" si="294"/>
        <v>110</v>
      </c>
      <c r="FY104" s="22">
        <f t="shared" si="295"/>
        <v>1</v>
      </c>
      <c r="FZ104" s="94">
        <f t="shared" si="296"/>
        <v>0</v>
      </c>
      <c r="GA104" s="28">
        <f t="shared" si="297"/>
        <v>0</v>
      </c>
    </row>
    <row r="105" spans="1:183">
      <c r="A105" s="219" t="s">
        <v>972</v>
      </c>
      <c r="B105" s="76"/>
      <c r="C105">
        <v>0</v>
      </c>
      <c r="D105">
        <v>0</v>
      </c>
      <c r="E105">
        <v>0</v>
      </c>
      <c r="F105">
        <v>0</v>
      </c>
      <c r="G105">
        <v>0</v>
      </c>
      <c r="H105">
        <v>0</v>
      </c>
      <c r="I105">
        <v>0</v>
      </c>
      <c r="J105">
        <v>0</v>
      </c>
      <c r="K105">
        <v>0</v>
      </c>
      <c r="L105">
        <v>0</v>
      </c>
      <c r="M105">
        <v>0</v>
      </c>
      <c r="N105" s="19">
        <v>0</v>
      </c>
      <c r="O105" s="22">
        <v>0</v>
      </c>
      <c r="P105" s="22">
        <v>0</v>
      </c>
      <c r="Q105" s="22">
        <v>0</v>
      </c>
      <c r="R105" s="22">
        <v>0</v>
      </c>
      <c r="S105" s="22">
        <v>0</v>
      </c>
      <c r="T105" s="22">
        <v>0</v>
      </c>
      <c r="U105" s="22">
        <v>0</v>
      </c>
      <c r="V105" s="22">
        <v>0</v>
      </c>
      <c r="W105" s="22">
        <v>0</v>
      </c>
      <c r="X105" s="22">
        <v>0</v>
      </c>
      <c r="Y105" s="12">
        <v>0</v>
      </c>
      <c r="Z105">
        <v>0</v>
      </c>
      <c r="AA105">
        <v>0</v>
      </c>
      <c r="AB105">
        <v>0</v>
      </c>
      <c r="AC105">
        <v>0</v>
      </c>
      <c r="AD105">
        <v>0</v>
      </c>
      <c r="AE105">
        <v>0</v>
      </c>
      <c r="AF105">
        <v>0</v>
      </c>
      <c r="AG105">
        <v>0</v>
      </c>
      <c r="AH105">
        <v>0</v>
      </c>
      <c r="AI105">
        <v>0</v>
      </c>
      <c r="AJ105">
        <v>0</v>
      </c>
      <c r="AK105">
        <v>0</v>
      </c>
      <c r="AL105" s="19">
        <v>0</v>
      </c>
      <c r="AM105" s="22">
        <v>0</v>
      </c>
      <c r="AN105" s="22">
        <v>0</v>
      </c>
      <c r="AO105" s="22">
        <v>0</v>
      </c>
      <c r="AP105" s="22">
        <v>0</v>
      </c>
      <c r="AQ105" s="22">
        <v>0</v>
      </c>
      <c r="AR105" s="23">
        <v>0</v>
      </c>
      <c r="AS105" s="23">
        <v>0</v>
      </c>
      <c r="AT105" s="22">
        <v>0</v>
      </c>
      <c r="AU105" s="22">
        <v>0</v>
      </c>
      <c r="AV105" s="22">
        <v>0</v>
      </c>
      <c r="AW105" s="12">
        <v>0</v>
      </c>
      <c r="AX105" s="19">
        <v>0</v>
      </c>
      <c r="AY105" s="22">
        <v>0</v>
      </c>
      <c r="AZ105" s="22">
        <v>0</v>
      </c>
      <c r="BA105" s="22">
        <v>0</v>
      </c>
      <c r="BB105" s="22">
        <v>0</v>
      </c>
      <c r="BC105" s="22">
        <v>0</v>
      </c>
      <c r="BD105" s="22">
        <v>0</v>
      </c>
      <c r="BE105" s="22">
        <v>1</v>
      </c>
      <c r="BF105" s="22">
        <v>1</v>
      </c>
      <c r="BG105" s="22">
        <v>0</v>
      </c>
      <c r="BH105" s="22">
        <v>0</v>
      </c>
      <c r="BI105" s="12">
        <v>0</v>
      </c>
      <c r="BJ105">
        <v>1</v>
      </c>
      <c r="BK105">
        <v>0</v>
      </c>
      <c r="BL105">
        <v>0</v>
      </c>
      <c r="BM105">
        <v>0</v>
      </c>
      <c r="BN105">
        <v>0</v>
      </c>
      <c r="BO105">
        <v>0</v>
      </c>
      <c r="BP105">
        <v>0</v>
      </c>
      <c r="BQ105">
        <v>0</v>
      </c>
      <c r="BR105">
        <v>0</v>
      </c>
      <c r="BS105">
        <v>0</v>
      </c>
      <c r="BT105">
        <v>0</v>
      </c>
      <c r="BU105">
        <v>0</v>
      </c>
      <c r="BV105" s="19">
        <v>0</v>
      </c>
      <c r="BW105" s="22">
        <v>0</v>
      </c>
      <c r="BX105" s="22">
        <v>0</v>
      </c>
      <c r="BY105" s="22">
        <v>0</v>
      </c>
      <c r="BZ105" s="22">
        <v>0</v>
      </c>
      <c r="CA105" s="22">
        <v>1</v>
      </c>
      <c r="CB105" s="22">
        <v>1</v>
      </c>
      <c r="CC105" s="22">
        <v>0</v>
      </c>
      <c r="CD105" s="22">
        <v>0</v>
      </c>
      <c r="CE105" s="22">
        <v>0</v>
      </c>
      <c r="CF105" s="22">
        <v>0</v>
      </c>
      <c r="CG105" s="22">
        <v>0</v>
      </c>
      <c r="CH105" s="788">
        <v>0</v>
      </c>
      <c r="CI105" s="22">
        <v>0</v>
      </c>
      <c r="CJ105" s="22">
        <v>0</v>
      </c>
      <c r="CK105" s="22">
        <v>0</v>
      </c>
      <c r="CL105" s="22">
        <v>0</v>
      </c>
      <c r="CM105" s="22">
        <v>0</v>
      </c>
      <c r="CN105" s="22">
        <v>0</v>
      </c>
      <c r="CO105" s="22">
        <v>0</v>
      </c>
      <c r="CP105" s="22">
        <v>0</v>
      </c>
      <c r="CQ105" s="22">
        <v>0</v>
      </c>
      <c r="CR105" s="22">
        <v>0</v>
      </c>
      <c r="CS105" s="12">
        <v>0</v>
      </c>
      <c r="CT105" s="788">
        <v>0</v>
      </c>
      <c r="CU105" s="22">
        <v>0</v>
      </c>
      <c r="CV105" s="22">
        <v>0</v>
      </c>
      <c r="CW105" s="22">
        <v>0</v>
      </c>
      <c r="CX105" s="22">
        <v>0</v>
      </c>
      <c r="CY105" s="22">
        <v>0</v>
      </c>
      <c r="CZ105" s="22">
        <v>0</v>
      </c>
      <c r="DA105" s="22">
        <v>0</v>
      </c>
      <c r="DB105" s="22">
        <v>0</v>
      </c>
      <c r="DC105" s="22">
        <v>0</v>
      </c>
      <c r="DD105" s="22">
        <v>0</v>
      </c>
      <c r="DE105" s="12">
        <v>0</v>
      </c>
      <c r="DF105" s="788">
        <v>0</v>
      </c>
      <c r="DG105" s="22">
        <v>0</v>
      </c>
      <c r="DH105" s="22">
        <v>0</v>
      </c>
      <c r="DI105" s="22">
        <v>0</v>
      </c>
      <c r="DJ105" s="22">
        <v>0</v>
      </c>
      <c r="DK105" s="22">
        <v>0</v>
      </c>
      <c r="DL105" s="22">
        <v>0</v>
      </c>
      <c r="DM105" s="22">
        <v>0</v>
      </c>
      <c r="DN105" s="22">
        <v>0</v>
      </c>
      <c r="DO105" s="22">
        <v>0</v>
      </c>
      <c r="DP105" s="22">
        <v>0</v>
      </c>
      <c r="DQ105" s="12">
        <v>0</v>
      </c>
      <c r="DR105" s="788">
        <v>0</v>
      </c>
      <c r="DS105" s="22">
        <v>0</v>
      </c>
      <c r="DT105" s="22">
        <v>0</v>
      </c>
      <c r="DU105" s="22">
        <v>0</v>
      </c>
      <c r="DV105" s="22">
        <v>0</v>
      </c>
      <c r="DW105" s="22">
        <v>0</v>
      </c>
      <c r="DX105" s="22">
        <v>0</v>
      </c>
      <c r="DY105" s="22">
        <v>0</v>
      </c>
      <c r="DZ105" s="22">
        <v>0</v>
      </c>
      <c r="EA105" s="22">
        <v>0</v>
      </c>
      <c r="EB105" s="22">
        <v>0</v>
      </c>
      <c r="EC105" s="12">
        <v>0</v>
      </c>
      <c r="ED105" s="12">
        <f t="shared" si="260"/>
        <v>5</v>
      </c>
      <c r="EF105" s="6">
        <f t="shared" si="261"/>
        <v>0</v>
      </c>
      <c r="EG105" s="19">
        <f t="shared" si="262"/>
        <v>0</v>
      </c>
      <c r="EH105" s="22">
        <f t="shared" si="263"/>
        <v>0</v>
      </c>
      <c r="EI105" s="22">
        <f t="shared" si="264"/>
        <v>0</v>
      </c>
      <c r="EJ105" s="12">
        <f t="shared" si="265"/>
        <v>0</v>
      </c>
      <c r="EK105" s="22">
        <f t="shared" si="266"/>
        <v>0</v>
      </c>
      <c r="EL105" s="22">
        <f t="shared" si="267"/>
        <v>0</v>
      </c>
      <c r="EM105" s="22">
        <f t="shared" si="268"/>
        <v>0</v>
      </c>
      <c r="EN105" s="22">
        <f t="shared" si="269"/>
        <v>0</v>
      </c>
      <c r="EO105" s="19">
        <f t="shared" si="298"/>
        <v>0</v>
      </c>
      <c r="EP105" s="22">
        <f t="shared" si="299"/>
        <v>0</v>
      </c>
      <c r="EQ105" s="22">
        <f t="shared" si="300"/>
        <v>2</v>
      </c>
      <c r="ER105" s="12">
        <f t="shared" si="301"/>
        <v>0</v>
      </c>
      <c r="ES105" s="90">
        <f t="shared" si="270"/>
        <v>1</v>
      </c>
      <c r="ET105" s="94">
        <f t="shared" si="271"/>
        <v>0</v>
      </c>
      <c r="EU105" s="94">
        <f t="shared" si="302"/>
        <v>0</v>
      </c>
      <c r="EV105" s="28">
        <f t="shared" si="303"/>
        <v>0</v>
      </c>
      <c r="EW105" s="90">
        <f t="shared" si="272"/>
        <v>0</v>
      </c>
      <c r="EX105" s="94">
        <f t="shared" si="273"/>
        <v>1</v>
      </c>
      <c r="EY105" s="94">
        <f t="shared" si="274"/>
        <v>1</v>
      </c>
      <c r="EZ105" s="28">
        <f t="shared" si="275"/>
        <v>0</v>
      </c>
      <c r="FA105" s="90">
        <f t="shared" si="304"/>
        <v>0</v>
      </c>
      <c r="FB105" s="94">
        <f t="shared" si="305"/>
        <v>0</v>
      </c>
      <c r="FC105" s="94">
        <f t="shared" si="306"/>
        <v>0</v>
      </c>
      <c r="FD105" s="28">
        <f t="shared" si="307"/>
        <v>0</v>
      </c>
      <c r="FE105" s="90">
        <f t="shared" si="276"/>
        <v>0</v>
      </c>
      <c r="FF105" s="94">
        <f t="shared" si="277"/>
        <v>0</v>
      </c>
      <c r="FG105" s="94">
        <f t="shared" si="278"/>
        <v>0</v>
      </c>
      <c r="FH105" s="28">
        <f t="shared" si="279"/>
        <v>0</v>
      </c>
      <c r="FI105" s="90">
        <f t="shared" si="280"/>
        <v>0</v>
      </c>
      <c r="FJ105" s="94">
        <f t="shared" si="281"/>
        <v>0</v>
      </c>
      <c r="FK105" s="94">
        <f t="shared" si="282"/>
        <v>0</v>
      </c>
      <c r="FL105" s="28">
        <f t="shared" si="283"/>
        <v>0</v>
      </c>
      <c r="FM105" s="90">
        <f t="shared" si="284"/>
        <v>0</v>
      </c>
      <c r="FN105" s="94">
        <f t="shared" si="285"/>
        <v>0</v>
      </c>
      <c r="FO105" s="94">
        <f t="shared" si="286"/>
        <v>0</v>
      </c>
      <c r="FP105" s="28">
        <f t="shared" si="287"/>
        <v>0</v>
      </c>
      <c r="FR105" s="125">
        <f t="shared" si="288"/>
        <v>0</v>
      </c>
      <c r="FS105" s="156">
        <f t="shared" si="289"/>
        <v>0</v>
      </c>
      <c r="FT105" s="156">
        <f t="shared" si="290"/>
        <v>0</v>
      </c>
      <c r="FU105" s="156">
        <f t="shared" si="291"/>
        <v>2</v>
      </c>
      <c r="FV105" s="137">
        <f t="shared" si="292"/>
        <v>1</v>
      </c>
      <c r="FW105" s="137">
        <f t="shared" si="293"/>
        <v>2</v>
      </c>
      <c r="FX105" s="22">
        <f t="shared" si="294"/>
        <v>0</v>
      </c>
      <c r="FY105" s="22">
        <f t="shared" si="295"/>
        <v>0</v>
      </c>
      <c r="FZ105" s="94">
        <f t="shared" si="296"/>
        <v>0</v>
      </c>
      <c r="GA105" s="28">
        <f t="shared" si="297"/>
        <v>0</v>
      </c>
    </row>
    <row r="106" spans="1:183">
      <c r="A106" s="219" t="s">
        <v>640</v>
      </c>
      <c r="B106" s="76"/>
      <c r="C106">
        <v>0</v>
      </c>
      <c r="D106">
        <v>0</v>
      </c>
      <c r="E106">
        <v>0</v>
      </c>
      <c r="F106">
        <v>0</v>
      </c>
      <c r="G106">
        <v>0</v>
      </c>
      <c r="H106">
        <v>0</v>
      </c>
      <c r="I106">
        <v>0</v>
      </c>
      <c r="J106">
        <v>0</v>
      </c>
      <c r="K106">
        <v>0</v>
      </c>
      <c r="L106">
        <v>0</v>
      </c>
      <c r="M106">
        <v>0</v>
      </c>
      <c r="N106" s="19">
        <v>0</v>
      </c>
      <c r="O106" s="22">
        <v>0</v>
      </c>
      <c r="P106" s="22">
        <v>0</v>
      </c>
      <c r="Q106" s="22">
        <v>0</v>
      </c>
      <c r="R106" s="22">
        <v>0</v>
      </c>
      <c r="S106" s="22">
        <v>0</v>
      </c>
      <c r="T106" s="22">
        <v>0</v>
      </c>
      <c r="U106" s="22">
        <v>0</v>
      </c>
      <c r="V106" s="22">
        <v>0</v>
      </c>
      <c r="W106" s="22">
        <v>0</v>
      </c>
      <c r="X106" s="22">
        <v>0</v>
      </c>
      <c r="Y106" s="12">
        <v>0</v>
      </c>
      <c r="Z106">
        <v>0</v>
      </c>
      <c r="AA106">
        <v>0</v>
      </c>
      <c r="AB106">
        <v>0</v>
      </c>
      <c r="AC106">
        <v>0</v>
      </c>
      <c r="AD106">
        <v>0</v>
      </c>
      <c r="AE106">
        <v>0</v>
      </c>
      <c r="AF106">
        <v>0</v>
      </c>
      <c r="AG106">
        <v>0</v>
      </c>
      <c r="AH106">
        <v>0</v>
      </c>
      <c r="AI106">
        <v>0</v>
      </c>
      <c r="AJ106">
        <v>0</v>
      </c>
      <c r="AK106">
        <v>0</v>
      </c>
      <c r="AL106" s="19">
        <v>1</v>
      </c>
      <c r="AM106" s="22">
        <v>1</v>
      </c>
      <c r="AN106" s="22">
        <v>0</v>
      </c>
      <c r="AO106" s="22">
        <v>0</v>
      </c>
      <c r="AP106" s="22">
        <v>0</v>
      </c>
      <c r="AQ106" s="22">
        <v>0</v>
      </c>
      <c r="AR106" s="23">
        <v>0</v>
      </c>
      <c r="AS106" s="23">
        <v>0</v>
      </c>
      <c r="AT106" s="22">
        <v>0</v>
      </c>
      <c r="AU106" s="22">
        <v>0</v>
      </c>
      <c r="AV106" s="22">
        <v>1</v>
      </c>
      <c r="AW106" s="12">
        <v>0</v>
      </c>
      <c r="AX106" s="19">
        <v>0</v>
      </c>
      <c r="AY106" s="22">
        <v>1</v>
      </c>
      <c r="AZ106" s="22">
        <v>0</v>
      </c>
      <c r="BA106" s="22">
        <v>0</v>
      </c>
      <c r="BB106" s="22">
        <v>0</v>
      </c>
      <c r="BC106" s="22">
        <v>0</v>
      </c>
      <c r="BD106" s="22">
        <v>0</v>
      </c>
      <c r="BE106" s="22">
        <v>0</v>
      </c>
      <c r="BF106" s="22">
        <v>0</v>
      </c>
      <c r="BG106" s="22">
        <v>0</v>
      </c>
      <c r="BH106" s="22">
        <v>0</v>
      </c>
      <c r="BI106" s="12">
        <v>0</v>
      </c>
      <c r="BJ106">
        <v>0</v>
      </c>
      <c r="BK106">
        <v>0</v>
      </c>
      <c r="BL106">
        <v>0</v>
      </c>
      <c r="BM106">
        <v>0</v>
      </c>
      <c r="BN106">
        <v>0</v>
      </c>
      <c r="BO106">
        <v>0</v>
      </c>
      <c r="BP106">
        <v>0</v>
      </c>
      <c r="BQ106">
        <v>0</v>
      </c>
      <c r="BR106">
        <v>0</v>
      </c>
      <c r="BS106">
        <v>0</v>
      </c>
      <c r="BT106">
        <v>0</v>
      </c>
      <c r="BU106">
        <v>0</v>
      </c>
      <c r="BV106" s="19">
        <v>0</v>
      </c>
      <c r="BW106" s="22">
        <v>0</v>
      </c>
      <c r="BX106" s="22">
        <v>0</v>
      </c>
      <c r="BY106" s="22">
        <v>0</v>
      </c>
      <c r="BZ106" s="22">
        <v>0</v>
      </c>
      <c r="CA106" s="22">
        <v>0</v>
      </c>
      <c r="CB106" s="22">
        <v>0</v>
      </c>
      <c r="CC106" s="22">
        <v>0</v>
      </c>
      <c r="CD106" s="22">
        <v>0</v>
      </c>
      <c r="CE106" s="22">
        <v>0</v>
      </c>
      <c r="CF106" s="22">
        <v>0</v>
      </c>
      <c r="CG106" s="22">
        <v>0</v>
      </c>
      <c r="CH106" s="788">
        <v>0</v>
      </c>
      <c r="CI106" s="22">
        <v>0</v>
      </c>
      <c r="CJ106" s="22">
        <v>0</v>
      </c>
      <c r="CK106" s="22">
        <v>0</v>
      </c>
      <c r="CL106" s="22">
        <v>0</v>
      </c>
      <c r="CM106" s="22">
        <v>0</v>
      </c>
      <c r="CN106" s="22">
        <v>0</v>
      </c>
      <c r="CO106" s="22">
        <v>0</v>
      </c>
      <c r="CP106" s="22">
        <v>0</v>
      </c>
      <c r="CQ106" s="22">
        <v>0</v>
      </c>
      <c r="CR106" s="22">
        <v>0</v>
      </c>
      <c r="CS106" s="12">
        <v>0</v>
      </c>
      <c r="CT106" s="788">
        <v>0</v>
      </c>
      <c r="CU106" s="22">
        <v>0</v>
      </c>
      <c r="CV106" s="22">
        <v>0</v>
      </c>
      <c r="CW106" s="22">
        <v>0</v>
      </c>
      <c r="CX106" s="22">
        <v>0</v>
      </c>
      <c r="CY106" s="22">
        <v>0</v>
      </c>
      <c r="CZ106" s="22">
        <v>0</v>
      </c>
      <c r="DA106" s="22">
        <v>0</v>
      </c>
      <c r="DB106" s="22">
        <v>0</v>
      </c>
      <c r="DC106" s="22">
        <v>0</v>
      </c>
      <c r="DD106" s="22">
        <v>0</v>
      </c>
      <c r="DE106" s="12">
        <v>0</v>
      </c>
      <c r="DF106" s="788">
        <v>0</v>
      </c>
      <c r="DG106" s="22">
        <v>0</v>
      </c>
      <c r="DH106" s="22">
        <v>0</v>
      </c>
      <c r="DI106" s="22">
        <v>0</v>
      </c>
      <c r="DJ106" s="22">
        <v>0</v>
      </c>
      <c r="DK106" s="22">
        <v>0</v>
      </c>
      <c r="DL106" s="22">
        <v>0</v>
      </c>
      <c r="DM106" s="22">
        <v>0</v>
      </c>
      <c r="DN106" s="22">
        <v>0</v>
      </c>
      <c r="DO106" s="22">
        <v>0</v>
      </c>
      <c r="DP106" s="22">
        <v>0</v>
      </c>
      <c r="DQ106" s="12">
        <v>0</v>
      </c>
      <c r="DR106" s="788">
        <v>0</v>
      </c>
      <c r="DS106" s="22">
        <v>0</v>
      </c>
      <c r="DT106" s="22">
        <v>0</v>
      </c>
      <c r="DU106" s="22">
        <v>0</v>
      </c>
      <c r="DV106" s="22">
        <v>0</v>
      </c>
      <c r="DW106" s="22">
        <v>0</v>
      </c>
      <c r="DX106" s="22">
        <v>0</v>
      </c>
      <c r="DY106" s="22">
        <v>0</v>
      </c>
      <c r="DZ106" s="22">
        <v>0</v>
      </c>
      <c r="EA106" s="22">
        <v>0</v>
      </c>
      <c r="EB106" s="22">
        <v>0</v>
      </c>
      <c r="EC106" s="12">
        <v>0</v>
      </c>
      <c r="ED106" s="12">
        <f t="shared" si="260"/>
        <v>4</v>
      </c>
      <c r="EF106" s="6">
        <f t="shared" si="261"/>
        <v>0</v>
      </c>
      <c r="EG106" s="19">
        <f t="shared" si="262"/>
        <v>0</v>
      </c>
      <c r="EH106" s="22">
        <f t="shared" si="263"/>
        <v>0</v>
      </c>
      <c r="EI106" s="22">
        <f t="shared" si="264"/>
        <v>0</v>
      </c>
      <c r="EJ106" s="12">
        <f t="shared" si="265"/>
        <v>0</v>
      </c>
      <c r="EK106" s="22">
        <f t="shared" si="266"/>
        <v>2</v>
      </c>
      <c r="EL106" s="22">
        <f t="shared" si="267"/>
        <v>0</v>
      </c>
      <c r="EM106" s="22">
        <f t="shared" si="268"/>
        <v>0</v>
      </c>
      <c r="EN106" s="22">
        <f t="shared" si="269"/>
        <v>1</v>
      </c>
      <c r="EO106" s="19">
        <f t="shared" si="298"/>
        <v>1</v>
      </c>
      <c r="EP106" s="22">
        <f t="shared" si="299"/>
        <v>0</v>
      </c>
      <c r="EQ106" s="22">
        <f t="shared" si="300"/>
        <v>0</v>
      </c>
      <c r="ER106" s="12">
        <f t="shared" si="301"/>
        <v>0</v>
      </c>
      <c r="ES106" s="90">
        <f t="shared" si="270"/>
        <v>0</v>
      </c>
      <c r="ET106" s="94">
        <f t="shared" si="271"/>
        <v>0</v>
      </c>
      <c r="EU106" s="94">
        <f t="shared" si="302"/>
        <v>0</v>
      </c>
      <c r="EV106" s="28">
        <f t="shared" si="303"/>
        <v>0</v>
      </c>
      <c r="EW106" s="90">
        <f t="shared" si="272"/>
        <v>0</v>
      </c>
      <c r="EX106" s="94">
        <f t="shared" si="273"/>
        <v>0</v>
      </c>
      <c r="EY106" s="94">
        <f t="shared" si="274"/>
        <v>0</v>
      </c>
      <c r="EZ106" s="28">
        <f t="shared" si="275"/>
        <v>0</v>
      </c>
      <c r="FA106" s="90">
        <f t="shared" si="304"/>
        <v>0</v>
      </c>
      <c r="FB106" s="94">
        <f t="shared" si="305"/>
        <v>0</v>
      </c>
      <c r="FC106" s="94">
        <f t="shared" si="306"/>
        <v>0</v>
      </c>
      <c r="FD106" s="28">
        <f t="shared" si="307"/>
        <v>0</v>
      </c>
      <c r="FE106" s="90">
        <f t="shared" si="276"/>
        <v>0</v>
      </c>
      <c r="FF106" s="94">
        <f t="shared" si="277"/>
        <v>0</v>
      </c>
      <c r="FG106" s="94">
        <f t="shared" si="278"/>
        <v>0</v>
      </c>
      <c r="FH106" s="28">
        <f t="shared" si="279"/>
        <v>0</v>
      </c>
      <c r="FI106" s="90">
        <f t="shared" si="280"/>
        <v>0</v>
      </c>
      <c r="FJ106" s="94">
        <f t="shared" si="281"/>
        <v>0</v>
      </c>
      <c r="FK106" s="94">
        <f t="shared" si="282"/>
        <v>0</v>
      </c>
      <c r="FL106" s="28">
        <f t="shared" si="283"/>
        <v>0</v>
      </c>
      <c r="FM106" s="90">
        <f t="shared" si="284"/>
        <v>0</v>
      </c>
      <c r="FN106" s="94">
        <f t="shared" si="285"/>
        <v>0</v>
      </c>
      <c r="FO106" s="94">
        <f t="shared" si="286"/>
        <v>0</v>
      </c>
      <c r="FP106" s="28">
        <f t="shared" si="287"/>
        <v>0</v>
      </c>
      <c r="FR106" s="125">
        <f t="shared" si="288"/>
        <v>0</v>
      </c>
      <c r="FS106" s="156">
        <f t="shared" si="289"/>
        <v>0</v>
      </c>
      <c r="FT106" s="156">
        <f t="shared" si="290"/>
        <v>3</v>
      </c>
      <c r="FU106" s="156">
        <f t="shared" si="291"/>
        <v>1</v>
      </c>
      <c r="FV106" s="137">
        <f t="shared" si="292"/>
        <v>0</v>
      </c>
      <c r="FW106" s="137">
        <f t="shared" si="293"/>
        <v>0</v>
      </c>
      <c r="FX106" s="22">
        <f t="shared" si="294"/>
        <v>0</v>
      </c>
      <c r="FY106" s="22">
        <f t="shared" si="295"/>
        <v>0</v>
      </c>
      <c r="FZ106" s="94">
        <f t="shared" si="296"/>
        <v>0</v>
      </c>
      <c r="GA106" s="28">
        <f t="shared" si="297"/>
        <v>0</v>
      </c>
    </row>
    <row r="107" spans="1:183">
      <c r="A107" s="219" t="s">
        <v>971</v>
      </c>
      <c r="B107" s="76"/>
      <c r="C107">
        <v>0</v>
      </c>
      <c r="D107">
        <v>0</v>
      </c>
      <c r="E107">
        <v>0</v>
      </c>
      <c r="F107">
        <v>0</v>
      </c>
      <c r="G107">
        <v>0</v>
      </c>
      <c r="H107">
        <v>0</v>
      </c>
      <c r="I107">
        <v>0</v>
      </c>
      <c r="J107">
        <v>0</v>
      </c>
      <c r="K107">
        <v>0</v>
      </c>
      <c r="L107">
        <v>0</v>
      </c>
      <c r="M107">
        <v>0</v>
      </c>
      <c r="N107" s="19">
        <v>0</v>
      </c>
      <c r="O107" s="22">
        <v>0</v>
      </c>
      <c r="P107" s="22">
        <v>0</v>
      </c>
      <c r="Q107" s="22">
        <v>0</v>
      </c>
      <c r="R107" s="22">
        <v>0</v>
      </c>
      <c r="S107" s="22">
        <v>0</v>
      </c>
      <c r="T107" s="22">
        <v>0</v>
      </c>
      <c r="U107" s="22">
        <v>0</v>
      </c>
      <c r="V107" s="22">
        <v>0</v>
      </c>
      <c r="W107" s="22">
        <v>0</v>
      </c>
      <c r="X107" s="22">
        <v>1</v>
      </c>
      <c r="Y107" s="12">
        <v>1</v>
      </c>
      <c r="Z107">
        <v>0</v>
      </c>
      <c r="AA107">
        <v>0</v>
      </c>
      <c r="AB107">
        <v>1</v>
      </c>
      <c r="AC107">
        <v>0</v>
      </c>
      <c r="AD107">
        <v>1</v>
      </c>
      <c r="AE107">
        <v>2</v>
      </c>
      <c r="AF107">
        <v>0</v>
      </c>
      <c r="AG107">
        <v>0</v>
      </c>
      <c r="AH107">
        <v>0</v>
      </c>
      <c r="AI107">
        <v>0</v>
      </c>
      <c r="AJ107">
        <v>0</v>
      </c>
      <c r="AK107">
        <v>1</v>
      </c>
      <c r="AL107" s="19">
        <v>0</v>
      </c>
      <c r="AM107" s="22">
        <v>0</v>
      </c>
      <c r="AN107" s="22">
        <v>0</v>
      </c>
      <c r="AO107" s="22">
        <v>0</v>
      </c>
      <c r="AP107" s="22">
        <v>0</v>
      </c>
      <c r="AQ107" s="22">
        <v>0</v>
      </c>
      <c r="AR107" s="23">
        <v>0</v>
      </c>
      <c r="AS107" s="23">
        <v>0</v>
      </c>
      <c r="AT107" s="22">
        <v>0</v>
      </c>
      <c r="AU107" s="22">
        <v>1</v>
      </c>
      <c r="AV107" s="22">
        <v>2</v>
      </c>
      <c r="AW107" s="12">
        <v>0</v>
      </c>
      <c r="AX107" s="19">
        <v>0</v>
      </c>
      <c r="AY107" s="22">
        <v>0</v>
      </c>
      <c r="AZ107" s="22">
        <v>0</v>
      </c>
      <c r="BA107" s="22">
        <v>1</v>
      </c>
      <c r="BB107" s="22">
        <v>0</v>
      </c>
      <c r="BC107" s="22">
        <v>0</v>
      </c>
      <c r="BD107" s="22">
        <v>0</v>
      </c>
      <c r="BE107" s="22">
        <v>0</v>
      </c>
      <c r="BF107" s="22">
        <v>2</v>
      </c>
      <c r="BG107" s="22">
        <v>0</v>
      </c>
      <c r="BH107" s="22">
        <v>0</v>
      </c>
      <c r="BI107" s="12">
        <v>3</v>
      </c>
      <c r="BJ107">
        <v>0</v>
      </c>
      <c r="BK107">
        <v>0</v>
      </c>
      <c r="BL107">
        <v>0</v>
      </c>
      <c r="BM107">
        <v>0</v>
      </c>
      <c r="BN107">
        <v>0</v>
      </c>
      <c r="BO107">
        <v>0</v>
      </c>
      <c r="BP107">
        <v>0</v>
      </c>
      <c r="BQ107">
        <v>0</v>
      </c>
      <c r="BR107">
        <v>2</v>
      </c>
      <c r="BS107">
        <v>1</v>
      </c>
      <c r="BT107">
        <v>1</v>
      </c>
      <c r="BU107">
        <v>3</v>
      </c>
      <c r="BV107" s="19">
        <v>1</v>
      </c>
      <c r="BW107" s="22">
        <v>0</v>
      </c>
      <c r="BX107" s="22">
        <v>2</v>
      </c>
      <c r="BY107" s="22">
        <v>0</v>
      </c>
      <c r="BZ107" s="22">
        <v>0</v>
      </c>
      <c r="CA107" s="22">
        <v>0</v>
      </c>
      <c r="CB107" s="22">
        <v>0</v>
      </c>
      <c r="CC107" s="22">
        <v>1</v>
      </c>
      <c r="CD107" s="22">
        <v>0</v>
      </c>
      <c r="CE107" s="22">
        <v>0</v>
      </c>
      <c r="CF107" s="22">
        <v>0</v>
      </c>
      <c r="CG107" s="22">
        <v>0</v>
      </c>
      <c r="CH107" s="788">
        <v>1</v>
      </c>
      <c r="CI107" s="22">
        <v>0</v>
      </c>
      <c r="CJ107" s="22">
        <v>0</v>
      </c>
      <c r="CK107" s="22">
        <v>0</v>
      </c>
      <c r="CL107" s="22">
        <v>0</v>
      </c>
      <c r="CM107" s="22">
        <v>0</v>
      </c>
      <c r="CN107" s="22">
        <v>0</v>
      </c>
      <c r="CO107" s="22">
        <v>0</v>
      </c>
      <c r="CP107" s="22">
        <v>0</v>
      </c>
      <c r="CQ107" s="22">
        <v>0</v>
      </c>
      <c r="CR107" s="22">
        <v>1</v>
      </c>
      <c r="CS107" s="12">
        <v>0</v>
      </c>
      <c r="CT107" s="788">
        <v>0</v>
      </c>
      <c r="CU107" s="22">
        <v>0</v>
      </c>
      <c r="CV107" s="22">
        <v>0</v>
      </c>
      <c r="CW107" s="22">
        <v>0</v>
      </c>
      <c r="CX107" s="22">
        <v>0</v>
      </c>
      <c r="CY107" s="22">
        <v>0</v>
      </c>
      <c r="CZ107" s="22">
        <v>0</v>
      </c>
      <c r="DA107" s="22">
        <v>0</v>
      </c>
      <c r="DB107" s="22">
        <v>0</v>
      </c>
      <c r="DC107" s="22">
        <v>0</v>
      </c>
      <c r="DD107" s="22">
        <v>0</v>
      </c>
      <c r="DE107" s="12">
        <v>0</v>
      </c>
      <c r="DF107" s="788">
        <v>0</v>
      </c>
      <c r="DG107" s="22">
        <v>0</v>
      </c>
      <c r="DH107" s="22">
        <v>0</v>
      </c>
      <c r="DI107" s="22">
        <v>0</v>
      </c>
      <c r="DJ107" s="22">
        <v>0</v>
      </c>
      <c r="DK107" s="22">
        <v>0</v>
      </c>
      <c r="DL107" s="22">
        <v>0</v>
      </c>
      <c r="DM107" s="22">
        <v>0</v>
      </c>
      <c r="DN107" s="22">
        <v>0</v>
      </c>
      <c r="DO107" s="22">
        <v>0</v>
      </c>
      <c r="DP107" s="22">
        <v>0</v>
      </c>
      <c r="DQ107" s="12">
        <v>0</v>
      </c>
      <c r="DR107" s="788">
        <v>0</v>
      </c>
      <c r="DS107" s="22">
        <v>0</v>
      </c>
      <c r="DT107" s="22">
        <v>0</v>
      </c>
      <c r="DU107" s="22">
        <v>0</v>
      </c>
      <c r="DV107" s="22">
        <v>0</v>
      </c>
      <c r="DW107" s="22">
        <v>0</v>
      </c>
      <c r="DX107" s="22">
        <v>0</v>
      </c>
      <c r="DY107" s="22">
        <v>0</v>
      </c>
      <c r="DZ107" s="22">
        <v>0</v>
      </c>
      <c r="EA107" s="22">
        <v>0</v>
      </c>
      <c r="EB107" s="22">
        <v>0</v>
      </c>
      <c r="EC107" s="12">
        <v>0</v>
      </c>
      <c r="ED107" s="12">
        <f t="shared" si="260"/>
        <v>29</v>
      </c>
      <c r="EF107" s="6">
        <f t="shared" si="261"/>
        <v>2</v>
      </c>
      <c r="EG107" s="19">
        <f t="shared" si="262"/>
        <v>1</v>
      </c>
      <c r="EH107" s="22">
        <f t="shared" si="263"/>
        <v>3</v>
      </c>
      <c r="EI107" s="22">
        <f t="shared" si="264"/>
        <v>0</v>
      </c>
      <c r="EJ107" s="12">
        <f t="shared" si="265"/>
        <v>1</v>
      </c>
      <c r="EK107" s="22">
        <f t="shared" si="266"/>
        <v>0</v>
      </c>
      <c r="EL107" s="22">
        <f t="shared" si="267"/>
        <v>0</v>
      </c>
      <c r="EM107" s="22">
        <f t="shared" si="268"/>
        <v>0</v>
      </c>
      <c r="EN107" s="22">
        <f t="shared" si="269"/>
        <v>3</v>
      </c>
      <c r="EO107" s="19">
        <f t="shared" si="298"/>
        <v>0</v>
      </c>
      <c r="EP107" s="22">
        <f t="shared" si="299"/>
        <v>1</v>
      </c>
      <c r="EQ107" s="22">
        <f t="shared" si="300"/>
        <v>2</v>
      </c>
      <c r="ER107" s="12">
        <f t="shared" si="301"/>
        <v>3</v>
      </c>
      <c r="ES107" s="90">
        <f t="shared" si="270"/>
        <v>0</v>
      </c>
      <c r="ET107" s="94">
        <f t="shared" si="271"/>
        <v>0</v>
      </c>
      <c r="EU107" s="94">
        <f t="shared" si="302"/>
        <v>2</v>
      </c>
      <c r="EV107" s="28">
        <f t="shared" si="303"/>
        <v>5</v>
      </c>
      <c r="EW107" s="90">
        <f t="shared" si="272"/>
        <v>3</v>
      </c>
      <c r="EX107" s="94">
        <f t="shared" si="273"/>
        <v>0</v>
      </c>
      <c r="EY107" s="94">
        <f t="shared" si="274"/>
        <v>1</v>
      </c>
      <c r="EZ107" s="28">
        <f t="shared" si="275"/>
        <v>0</v>
      </c>
      <c r="FA107" s="90">
        <f t="shared" si="304"/>
        <v>1</v>
      </c>
      <c r="FB107" s="94">
        <f t="shared" si="305"/>
        <v>0</v>
      </c>
      <c r="FC107" s="94">
        <f t="shared" si="306"/>
        <v>0</v>
      </c>
      <c r="FD107" s="28">
        <f t="shared" si="307"/>
        <v>1</v>
      </c>
      <c r="FE107" s="90">
        <f t="shared" si="276"/>
        <v>0</v>
      </c>
      <c r="FF107" s="94">
        <f t="shared" si="277"/>
        <v>0</v>
      </c>
      <c r="FG107" s="94">
        <f t="shared" si="278"/>
        <v>0</v>
      </c>
      <c r="FH107" s="28">
        <f t="shared" si="279"/>
        <v>0</v>
      </c>
      <c r="FI107" s="90">
        <f t="shared" si="280"/>
        <v>0</v>
      </c>
      <c r="FJ107" s="94">
        <f t="shared" si="281"/>
        <v>0</v>
      </c>
      <c r="FK107" s="94">
        <f t="shared" si="282"/>
        <v>0</v>
      </c>
      <c r="FL107" s="28">
        <f t="shared" si="283"/>
        <v>0</v>
      </c>
      <c r="FM107" s="90">
        <f t="shared" si="284"/>
        <v>0</v>
      </c>
      <c r="FN107" s="94">
        <f t="shared" si="285"/>
        <v>0</v>
      </c>
      <c r="FO107" s="94">
        <f t="shared" si="286"/>
        <v>0</v>
      </c>
      <c r="FP107" s="28">
        <f t="shared" si="287"/>
        <v>0</v>
      </c>
      <c r="FR107" s="125">
        <f t="shared" si="288"/>
        <v>2</v>
      </c>
      <c r="FS107" s="156">
        <f t="shared" si="289"/>
        <v>5</v>
      </c>
      <c r="FT107" s="156">
        <f t="shared" si="290"/>
        <v>3</v>
      </c>
      <c r="FU107" s="156">
        <f t="shared" si="291"/>
        <v>6</v>
      </c>
      <c r="FV107" s="137">
        <f t="shared" si="292"/>
        <v>7</v>
      </c>
      <c r="FW107" s="137">
        <f t="shared" si="293"/>
        <v>4</v>
      </c>
      <c r="FX107" s="22">
        <f t="shared" si="294"/>
        <v>2</v>
      </c>
      <c r="FY107" s="22">
        <f t="shared" si="295"/>
        <v>0</v>
      </c>
      <c r="FZ107" s="94">
        <f t="shared" si="296"/>
        <v>0</v>
      </c>
      <c r="GA107" s="28">
        <f t="shared" si="297"/>
        <v>0</v>
      </c>
    </row>
    <row r="108" spans="1:183">
      <c r="A108" s="219" t="s">
        <v>1488</v>
      </c>
      <c r="B108" s="76"/>
      <c r="C108">
        <v>0</v>
      </c>
      <c r="D108">
        <v>0</v>
      </c>
      <c r="E108">
        <v>0</v>
      </c>
      <c r="F108">
        <v>0</v>
      </c>
      <c r="G108">
        <v>0</v>
      </c>
      <c r="H108">
        <v>0</v>
      </c>
      <c r="I108">
        <v>0</v>
      </c>
      <c r="J108">
        <v>0</v>
      </c>
      <c r="K108">
        <v>0</v>
      </c>
      <c r="L108">
        <v>0</v>
      </c>
      <c r="M108">
        <v>0</v>
      </c>
      <c r="N108" s="19">
        <v>0</v>
      </c>
      <c r="O108" s="22">
        <v>0</v>
      </c>
      <c r="P108" s="22">
        <v>0</v>
      </c>
      <c r="Q108" s="22">
        <v>0</v>
      </c>
      <c r="R108" s="22">
        <v>0</v>
      </c>
      <c r="S108" s="22">
        <v>0</v>
      </c>
      <c r="T108" s="22">
        <v>0</v>
      </c>
      <c r="U108" s="22">
        <v>0</v>
      </c>
      <c r="V108" s="22">
        <v>0</v>
      </c>
      <c r="W108" s="22">
        <v>0</v>
      </c>
      <c r="X108" s="22">
        <v>0</v>
      </c>
      <c r="Y108" s="12">
        <v>0</v>
      </c>
      <c r="Z108">
        <v>0</v>
      </c>
      <c r="AA108">
        <v>0</v>
      </c>
      <c r="AB108">
        <v>2</v>
      </c>
      <c r="AC108">
        <v>3</v>
      </c>
      <c r="AD108">
        <v>1</v>
      </c>
      <c r="AE108">
        <v>1</v>
      </c>
      <c r="AF108">
        <v>1</v>
      </c>
      <c r="AG108">
        <v>0</v>
      </c>
      <c r="AH108">
        <v>0</v>
      </c>
      <c r="AI108">
        <v>0</v>
      </c>
      <c r="AJ108">
        <v>0</v>
      </c>
      <c r="AK108">
        <v>1</v>
      </c>
      <c r="AL108" s="19">
        <v>0</v>
      </c>
      <c r="AM108" s="22">
        <v>0</v>
      </c>
      <c r="AN108" s="22">
        <v>3</v>
      </c>
      <c r="AO108" s="22">
        <v>0</v>
      </c>
      <c r="AP108" s="22">
        <v>0</v>
      </c>
      <c r="AQ108" s="22">
        <v>1</v>
      </c>
      <c r="AR108" s="23">
        <v>3</v>
      </c>
      <c r="AS108" s="23">
        <v>0</v>
      </c>
      <c r="AT108" s="22">
        <v>0</v>
      </c>
      <c r="AU108" s="22">
        <v>0</v>
      </c>
      <c r="AV108" s="22">
        <v>0</v>
      </c>
      <c r="AW108" s="12">
        <v>1</v>
      </c>
      <c r="AX108" s="19">
        <v>0</v>
      </c>
      <c r="AY108" s="22">
        <v>1</v>
      </c>
      <c r="AZ108" s="22">
        <v>1</v>
      </c>
      <c r="BA108" s="22">
        <v>0</v>
      </c>
      <c r="BB108" s="22">
        <v>0</v>
      </c>
      <c r="BC108" s="22">
        <v>0</v>
      </c>
      <c r="BD108" s="22">
        <v>0</v>
      </c>
      <c r="BE108" s="22">
        <v>2</v>
      </c>
      <c r="BF108" s="22">
        <v>12</v>
      </c>
      <c r="BG108" s="22">
        <v>0</v>
      </c>
      <c r="BH108" s="22">
        <v>0</v>
      </c>
      <c r="BI108" s="12">
        <v>0</v>
      </c>
      <c r="BJ108">
        <v>25</v>
      </c>
      <c r="BK108">
        <v>0</v>
      </c>
      <c r="BL108">
        <v>0</v>
      </c>
      <c r="BM108">
        <v>5</v>
      </c>
      <c r="BN108">
        <v>0</v>
      </c>
      <c r="BO108">
        <v>0</v>
      </c>
      <c r="BP108">
        <v>0</v>
      </c>
      <c r="BQ108">
        <v>1</v>
      </c>
      <c r="BR108">
        <v>0</v>
      </c>
      <c r="BS108">
        <v>0</v>
      </c>
      <c r="BT108">
        <v>0</v>
      </c>
      <c r="BU108">
        <v>0</v>
      </c>
      <c r="BV108" s="19">
        <v>0</v>
      </c>
      <c r="BW108" s="22">
        <v>1</v>
      </c>
      <c r="BX108" s="22">
        <v>9</v>
      </c>
      <c r="BY108" s="22">
        <v>0</v>
      </c>
      <c r="BZ108" s="22">
        <v>0</v>
      </c>
      <c r="CA108" s="22">
        <v>3</v>
      </c>
      <c r="CB108" s="22">
        <v>0</v>
      </c>
      <c r="CC108" s="22">
        <v>0</v>
      </c>
      <c r="CD108" s="22">
        <v>1</v>
      </c>
      <c r="CE108" s="22">
        <v>1</v>
      </c>
      <c r="CF108" s="22">
        <v>1</v>
      </c>
      <c r="CG108" s="22">
        <v>1</v>
      </c>
      <c r="CH108" s="788">
        <v>0</v>
      </c>
      <c r="CI108" s="22">
        <v>1</v>
      </c>
      <c r="CJ108" s="22">
        <v>0</v>
      </c>
      <c r="CK108" s="22">
        <v>0</v>
      </c>
      <c r="CL108" s="22">
        <v>0</v>
      </c>
      <c r="CM108" s="22">
        <v>0</v>
      </c>
      <c r="CN108" s="22">
        <v>0</v>
      </c>
      <c r="CO108" s="22">
        <v>0</v>
      </c>
      <c r="CP108" s="22">
        <v>0</v>
      </c>
      <c r="CQ108" s="22">
        <v>0</v>
      </c>
      <c r="CR108" s="22">
        <v>0</v>
      </c>
      <c r="CS108" s="12">
        <v>1</v>
      </c>
      <c r="CT108" s="788">
        <v>2</v>
      </c>
      <c r="CU108" s="22">
        <v>0</v>
      </c>
      <c r="CV108" s="22">
        <v>0</v>
      </c>
      <c r="CW108" s="22">
        <v>0</v>
      </c>
      <c r="CX108" s="22">
        <v>0</v>
      </c>
      <c r="CY108" s="22">
        <v>0</v>
      </c>
      <c r="CZ108" s="22">
        <v>0</v>
      </c>
      <c r="DA108" s="22">
        <v>0</v>
      </c>
      <c r="DB108" s="22">
        <v>0</v>
      </c>
      <c r="DC108" s="22">
        <v>0</v>
      </c>
      <c r="DD108" s="22">
        <v>0</v>
      </c>
      <c r="DE108" s="12">
        <v>0</v>
      </c>
      <c r="DF108" s="788">
        <v>0</v>
      </c>
      <c r="DG108" s="22">
        <v>0</v>
      </c>
      <c r="DH108" s="22">
        <v>0</v>
      </c>
      <c r="DI108" s="22">
        <v>0</v>
      </c>
      <c r="DJ108" s="22">
        <v>0</v>
      </c>
      <c r="DK108" s="22">
        <v>0</v>
      </c>
      <c r="DL108" s="22">
        <v>0</v>
      </c>
      <c r="DM108" s="22">
        <v>0</v>
      </c>
      <c r="DN108" s="22">
        <v>0</v>
      </c>
      <c r="DO108" s="22">
        <v>0</v>
      </c>
      <c r="DP108" s="22">
        <v>0</v>
      </c>
      <c r="DQ108" s="12">
        <v>0</v>
      </c>
      <c r="DR108" s="788">
        <v>0</v>
      </c>
      <c r="DS108" s="22">
        <v>0</v>
      </c>
      <c r="DT108" s="22">
        <v>0</v>
      </c>
      <c r="DU108" s="22">
        <v>0</v>
      </c>
      <c r="DV108" s="22">
        <v>0</v>
      </c>
      <c r="DW108" s="22">
        <v>0</v>
      </c>
      <c r="DX108" s="22">
        <v>0</v>
      </c>
      <c r="DY108" s="22">
        <v>0</v>
      </c>
      <c r="DZ108" s="22">
        <v>0</v>
      </c>
      <c r="EA108" s="22">
        <v>0</v>
      </c>
      <c r="EB108" s="22">
        <v>0</v>
      </c>
      <c r="EC108" s="12">
        <v>0</v>
      </c>
      <c r="ED108" s="12">
        <f t="shared" si="260"/>
        <v>85</v>
      </c>
      <c r="EF108" s="6">
        <f t="shared" si="261"/>
        <v>0</v>
      </c>
      <c r="EG108" s="19">
        <f t="shared" si="262"/>
        <v>2</v>
      </c>
      <c r="EH108" s="22">
        <f t="shared" si="263"/>
        <v>5</v>
      </c>
      <c r="EI108" s="22">
        <f t="shared" si="264"/>
        <v>1</v>
      </c>
      <c r="EJ108" s="12">
        <f t="shared" si="265"/>
        <v>1</v>
      </c>
      <c r="EK108" s="22">
        <f t="shared" si="266"/>
        <v>3</v>
      </c>
      <c r="EL108" s="22">
        <f t="shared" si="267"/>
        <v>1</v>
      </c>
      <c r="EM108" s="22">
        <f t="shared" si="268"/>
        <v>3</v>
      </c>
      <c r="EN108" s="22">
        <f t="shared" si="269"/>
        <v>1</v>
      </c>
      <c r="EO108" s="19">
        <f t="shared" si="298"/>
        <v>2</v>
      </c>
      <c r="EP108" s="22">
        <f t="shared" si="299"/>
        <v>0</v>
      </c>
      <c r="EQ108" s="22">
        <f t="shared" si="300"/>
        <v>14</v>
      </c>
      <c r="ER108" s="12">
        <f t="shared" si="301"/>
        <v>0</v>
      </c>
      <c r="ES108" s="90">
        <f t="shared" si="270"/>
        <v>25</v>
      </c>
      <c r="ET108" s="94">
        <f t="shared" si="271"/>
        <v>5</v>
      </c>
      <c r="EU108" s="94">
        <f t="shared" si="302"/>
        <v>1</v>
      </c>
      <c r="EV108" s="28">
        <f t="shared" si="303"/>
        <v>0</v>
      </c>
      <c r="EW108" s="90">
        <f t="shared" si="272"/>
        <v>10</v>
      </c>
      <c r="EX108" s="94">
        <f t="shared" si="273"/>
        <v>3</v>
      </c>
      <c r="EY108" s="94">
        <f t="shared" si="274"/>
        <v>1</v>
      </c>
      <c r="EZ108" s="28">
        <f t="shared" si="275"/>
        <v>3</v>
      </c>
      <c r="FA108" s="90">
        <f t="shared" si="304"/>
        <v>1</v>
      </c>
      <c r="FB108" s="94">
        <f t="shared" si="305"/>
        <v>0</v>
      </c>
      <c r="FC108" s="94">
        <f t="shared" si="306"/>
        <v>0</v>
      </c>
      <c r="FD108" s="28">
        <f t="shared" si="307"/>
        <v>1</v>
      </c>
      <c r="FE108" s="90">
        <f t="shared" si="276"/>
        <v>2</v>
      </c>
      <c r="FF108" s="94">
        <f t="shared" si="277"/>
        <v>0</v>
      </c>
      <c r="FG108" s="94">
        <f t="shared" si="278"/>
        <v>0</v>
      </c>
      <c r="FH108" s="28">
        <f t="shared" si="279"/>
        <v>0</v>
      </c>
      <c r="FI108" s="90">
        <f t="shared" si="280"/>
        <v>0</v>
      </c>
      <c r="FJ108" s="94">
        <f t="shared" si="281"/>
        <v>0</v>
      </c>
      <c r="FK108" s="94">
        <f t="shared" si="282"/>
        <v>0</v>
      </c>
      <c r="FL108" s="28">
        <f t="shared" si="283"/>
        <v>0</v>
      </c>
      <c r="FM108" s="90">
        <f t="shared" si="284"/>
        <v>0</v>
      </c>
      <c r="FN108" s="94">
        <f t="shared" si="285"/>
        <v>0</v>
      </c>
      <c r="FO108" s="94">
        <f t="shared" si="286"/>
        <v>0</v>
      </c>
      <c r="FP108" s="28">
        <f t="shared" si="287"/>
        <v>0</v>
      </c>
      <c r="FR108" s="125">
        <f t="shared" si="288"/>
        <v>0</v>
      </c>
      <c r="FS108" s="156">
        <f t="shared" si="289"/>
        <v>9</v>
      </c>
      <c r="FT108" s="156">
        <f t="shared" si="290"/>
        <v>8</v>
      </c>
      <c r="FU108" s="156">
        <f t="shared" si="291"/>
        <v>16</v>
      </c>
      <c r="FV108" s="137">
        <f t="shared" si="292"/>
        <v>31</v>
      </c>
      <c r="FW108" s="137">
        <f t="shared" si="293"/>
        <v>17</v>
      </c>
      <c r="FX108" s="22">
        <f t="shared" si="294"/>
        <v>2</v>
      </c>
      <c r="FY108" s="22">
        <f t="shared" si="295"/>
        <v>2</v>
      </c>
      <c r="FZ108" s="94">
        <f t="shared" si="296"/>
        <v>0</v>
      </c>
      <c r="GA108" s="28">
        <f t="shared" si="297"/>
        <v>0</v>
      </c>
    </row>
    <row r="109" spans="1:183">
      <c r="A109" s="219" t="s">
        <v>3238</v>
      </c>
      <c r="B109" s="76"/>
      <c r="C109">
        <v>0</v>
      </c>
      <c r="D109">
        <v>0</v>
      </c>
      <c r="E109">
        <v>0</v>
      </c>
      <c r="F109">
        <v>0</v>
      </c>
      <c r="G109">
        <v>0</v>
      </c>
      <c r="H109">
        <v>0</v>
      </c>
      <c r="I109">
        <v>0</v>
      </c>
      <c r="J109">
        <v>0</v>
      </c>
      <c r="K109">
        <v>0</v>
      </c>
      <c r="L109">
        <v>0</v>
      </c>
      <c r="M109">
        <v>0</v>
      </c>
      <c r="N109" s="19">
        <v>0</v>
      </c>
      <c r="O109" s="22">
        <v>0</v>
      </c>
      <c r="P109" s="22">
        <v>0</v>
      </c>
      <c r="Q109" s="22">
        <v>0</v>
      </c>
      <c r="R109" s="22">
        <v>0</v>
      </c>
      <c r="S109" s="22">
        <v>0</v>
      </c>
      <c r="T109" s="22">
        <v>0</v>
      </c>
      <c r="U109" s="22">
        <v>0</v>
      </c>
      <c r="V109" s="22">
        <v>0</v>
      </c>
      <c r="W109" s="22">
        <v>0</v>
      </c>
      <c r="X109" s="22">
        <v>0</v>
      </c>
      <c r="Y109" s="12">
        <v>0</v>
      </c>
      <c r="Z109">
        <v>1</v>
      </c>
      <c r="AA109">
        <v>0</v>
      </c>
      <c r="AB109">
        <v>0</v>
      </c>
      <c r="AC109">
        <v>0</v>
      </c>
      <c r="AD109">
        <v>0</v>
      </c>
      <c r="AE109">
        <v>0</v>
      </c>
      <c r="AF109">
        <v>0</v>
      </c>
      <c r="AG109">
        <v>0</v>
      </c>
      <c r="AH109">
        <v>0</v>
      </c>
      <c r="AI109">
        <v>0</v>
      </c>
      <c r="AJ109">
        <v>0</v>
      </c>
      <c r="AK109">
        <v>0</v>
      </c>
      <c r="AL109" s="19">
        <v>0</v>
      </c>
      <c r="AM109" s="22">
        <v>0</v>
      </c>
      <c r="AN109" s="22">
        <v>0</v>
      </c>
      <c r="AO109" s="22">
        <v>0</v>
      </c>
      <c r="AP109" s="22">
        <v>0</v>
      </c>
      <c r="AQ109" s="22">
        <v>0</v>
      </c>
      <c r="AR109" s="23">
        <v>1</v>
      </c>
      <c r="AS109" s="23">
        <v>0</v>
      </c>
      <c r="AT109" s="22">
        <v>0</v>
      </c>
      <c r="AU109" s="22">
        <v>0</v>
      </c>
      <c r="AV109" s="22">
        <v>0</v>
      </c>
      <c r="AW109" s="12">
        <v>1</v>
      </c>
      <c r="AX109" s="19">
        <v>0</v>
      </c>
      <c r="AY109" s="22">
        <v>0</v>
      </c>
      <c r="AZ109" s="22">
        <v>0</v>
      </c>
      <c r="BA109" s="22">
        <v>0</v>
      </c>
      <c r="BB109" s="22">
        <v>0</v>
      </c>
      <c r="BC109" s="22">
        <v>0</v>
      </c>
      <c r="BD109" s="22">
        <v>0</v>
      </c>
      <c r="BE109" s="22">
        <v>1</v>
      </c>
      <c r="BF109" s="22">
        <v>0</v>
      </c>
      <c r="BG109" s="22">
        <v>0</v>
      </c>
      <c r="BH109" s="22">
        <v>0</v>
      </c>
      <c r="BI109" s="12">
        <v>0</v>
      </c>
      <c r="BJ109">
        <v>0</v>
      </c>
      <c r="BK109">
        <v>0</v>
      </c>
      <c r="BL109">
        <v>0</v>
      </c>
      <c r="BM109">
        <v>0</v>
      </c>
      <c r="BN109">
        <v>0</v>
      </c>
      <c r="BO109">
        <v>0</v>
      </c>
      <c r="BP109">
        <v>0</v>
      </c>
      <c r="BQ109">
        <v>0</v>
      </c>
      <c r="BR109">
        <v>0</v>
      </c>
      <c r="BS109">
        <v>1</v>
      </c>
      <c r="BT109">
        <v>1</v>
      </c>
      <c r="BU109">
        <v>0</v>
      </c>
      <c r="BV109" s="19">
        <v>0</v>
      </c>
      <c r="BW109" s="22">
        <v>0</v>
      </c>
      <c r="BX109" s="22">
        <v>0</v>
      </c>
      <c r="BY109" s="22">
        <v>1</v>
      </c>
      <c r="BZ109" s="22">
        <v>0</v>
      </c>
      <c r="CA109" s="22">
        <v>0</v>
      </c>
      <c r="CB109" s="22">
        <v>1</v>
      </c>
      <c r="CC109" s="22">
        <v>0</v>
      </c>
      <c r="CD109" s="22">
        <v>0</v>
      </c>
      <c r="CE109" s="22">
        <v>0</v>
      </c>
      <c r="CF109" s="22">
        <v>0</v>
      </c>
      <c r="CG109" s="22">
        <v>0</v>
      </c>
      <c r="CH109" s="788">
        <v>0</v>
      </c>
      <c r="CI109" s="22">
        <v>0</v>
      </c>
      <c r="CJ109" s="22">
        <v>0</v>
      </c>
      <c r="CK109" s="22">
        <v>0</v>
      </c>
      <c r="CL109" s="22">
        <v>0</v>
      </c>
      <c r="CM109" s="22">
        <v>0</v>
      </c>
      <c r="CN109" s="22">
        <v>0</v>
      </c>
      <c r="CO109" s="22">
        <v>0</v>
      </c>
      <c r="CP109" s="22">
        <v>0</v>
      </c>
      <c r="CQ109" s="22">
        <v>0</v>
      </c>
      <c r="CR109" s="22">
        <v>1</v>
      </c>
      <c r="CS109" s="12">
        <v>0</v>
      </c>
      <c r="CT109" s="788">
        <v>0</v>
      </c>
      <c r="CU109" s="22">
        <v>0</v>
      </c>
      <c r="CV109" s="22">
        <v>0</v>
      </c>
      <c r="CW109" s="22">
        <v>0</v>
      </c>
      <c r="CX109" s="22">
        <v>0</v>
      </c>
      <c r="CY109" s="22">
        <v>0</v>
      </c>
      <c r="CZ109" s="22">
        <v>0</v>
      </c>
      <c r="DA109" s="22">
        <v>0</v>
      </c>
      <c r="DB109" s="22">
        <v>0</v>
      </c>
      <c r="DC109" s="22">
        <v>0</v>
      </c>
      <c r="DD109" s="22">
        <v>0</v>
      </c>
      <c r="DE109" s="12">
        <v>0</v>
      </c>
      <c r="DF109" s="788">
        <v>0</v>
      </c>
      <c r="DG109" s="22">
        <v>0</v>
      </c>
      <c r="DH109" s="22">
        <v>0</v>
      </c>
      <c r="DI109" s="22">
        <v>0</v>
      </c>
      <c r="DJ109" s="22">
        <v>0</v>
      </c>
      <c r="DK109" s="22">
        <v>0</v>
      </c>
      <c r="DL109" s="22">
        <v>0</v>
      </c>
      <c r="DM109" s="22">
        <v>0</v>
      </c>
      <c r="DN109" s="22">
        <v>0</v>
      </c>
      <c r="DO109" s="22">
        <v>0</v>
      </c>
      <c r="DP109" s="22">
        <v>0</v>
      </c>
      <c r="DQ109" s="12">
        <v>0</v>
      </c>
      <c r="DR109" s="788">
        <v>0</v>
      </c>
      <c r="DS109" s="22">
        <v>0</v>
      </c>
      <c r="DT109" s="22">
        <v>0</v>
      </c>
      <c r="DU109" s="22">
        <v>0</v>
      </c>
      <c r="DV109" s="22">
        <v>0</v>
      </c>
      <c r="DW109" s="22">
        <v>0</v>
      </c>
      <c r="DX109" s="22">
        <v>0</v>
      </c>
      <c r="DY109" s="22">
        <v>0</v>
      </c>
      <c r="DZ109" s="22">
        <v>0</v>
      </c>
      <c r="EA109" s="22">
        <v>0</v>
      </c>
      <c r="EB109" s="22">
        <v>0</v>
      </c>
      <c r="EC109" s="12">
        <v>0</v>
      </c>
      <c r="ED109" s="12">
        <f t="shared" si="260"/>
        <v>9</v>
      </c>
      <c r="EF109" s="6">
        <f>+W109+X109+Y109</f>
        <v>0</v>
      </c>
      <c r="EG109" s="19">
        <f>+Z109+AA109+AB109</f>
        <v>1</v>
      </c>
      <c r="EH109" s="22">
        <f>+AC109+AD109+AE109</f>
        <v>0</v>
      </c>
      <c r="EI109" s="22">
        <f>+AF109+AG109+AH109</f>
        <v>0</v>
      </c>
      <c r="EJ109" s="12">
        <f>+AI109+AJ109+AK109</f>
        <v>0</v>
      </c>
      <c r="EK109" s="22">
        <f>+AL109+AM109+AN109</f>
        <v>0</v>
      </c>
      <c r="EL109" s="22">
        <f>+AO109+AP109+AQ109</f>
        <v>0</v>
      </c>
      <c r="EM109" s="22">
        <f>+AR109+AS109+AT109</f>
        <v>1</v>
      </c>
      <c r="EN109" s="22">
        <f>+AU109+AV109+AW109</f>
        <v>1</v>
      </c>
      <c r="EO109" s="19">
        <f>+AX109+AY109+AZ109</f>
        <v>0</v>
      </c>
      <c r="EP109" s="22">
        <f>+BA109+BB109+BC109</f>
        <v>0</v>
      </c>
      <c r="EQ109" s="22">
        <f>+BD109+BE109+BF109</f>
        <v>1</v>
      </c>
      <c r="ER109" s="12">
        <f>+BG109+BH109+BI109</f>
        <v>0</v>
      </c>
      <c r="ES109" s="90">
        <f>SUM(BJ109:BL109)</f>
        <v>0</v>
      </c>
      <c r="ET109" s="94">
        <f>SUM(BM109:BO109)</f>
        <v>0</v>
      </c>
      <c r="EU109" s="94">
        <f>SUM(BP109:BR109)</f>
        <v>0</v>
      </c>
      <c r="EV109" s="28">
        <f>SUM(BS109:BU109)</f>
        <v>2</v>
      </c>
      <c r="EW109" s="90">
        <f>SUM(BV109:BX109)</f>
        <v>0</v>
      </c>
      <c r="EX109" s="94">
        <f>SUM(BY109:CA109)</f>
        <v>1</v>
      </c>
      <c r="EY109" s="94">
        <f>SUM(CB109:CD109)</f>
        <v>1</v>
      </c>
      <c r="EZ109" s="28">
        <f>SUM(CE109:CG109)</f>
        <v>0</v>
      </c>
      <c r="FA109" s="90">
        <f>SUM(CH109:CJ109)</f>
        <v>0</v>
      </c>
      <c r="FB109" s="94">
        <f>SUM(CK109:CM109)</f>
        <v>0</v>
      </c>
      <c r="FC109" s="94">
        <f>SUM(CN109:CP109)</f>
        <v>0</v>
      </c>
      <c r="FD109" s="28">
        <f>SUM(CQ109:CS109)</f>
        <v>1</v>
      </c>
      <c r="FE109" s="90">
        <f>SUM(CT109:CV109)</f>
        <v>0</v>
      </c>
      <c r="FF109" s="94">
        <f>SUM(CW109:CY109)</f>
        <v>0</v>
      </c>
      <c r="FG109" s="94">
        <f>SUM(CZ109:DB109)</f>
        <v>0</v>
      </c>
      <c r="FH109" s="28">
        <f>SUM(DC109:DE109)</f>
        <v>0</v>
      </c>
      <c r="FI109" s="90">
        <f t="shared" si="280"/>
        <v>0</v>
      </c>
      <c r="FJ109" s="94">
        <f t="shared" si="281"/>
        <v>0</v>
      </c>
      <c r="FK109" s="94">
        <f t="shared" si="282"/>
        <v>0</v>
      </c>
      <c r="FL109" s="28">
        <f t="shared" si="283"/>
        <v>0</v>
      </c>
      <c r="FM109" s="90">
        <f t="shared" si="284"/>
        <v>0</v>
      </c>
      <c r="FN109" s="94">
        <f t="shared" si="285"/>
        <v>0</v>
      </c>
      <c r="FO109" s="94">
        <f t="shared" si="286"/>
        <v>0</v>
      </c>
      <c r="FP109" s="28">
        <f t="shared" si="287"/>
        <v>0</v>
      </c>
      <c r="FR109" s="125">
        <f>SUM(EF109:EF109)</f>
        <v>0</v>
      </c>
      <c r="FS109" s="156">
        <f>SUM(EG109:EJ109)</f>
        <v>1</v>
      </c>
      <c r="FT109" s="156">
        <f>SUM(EK109:EN109)</f>
        <v>2</v>
      </c>
      <c r="FU109" s="156">
        <f>SUM(EO109:ER109)</f>
        <v>1</v>
      </c>
      <c r="FV109" s="137">
        <f>SUM(ES109:EV109)</f>
        <v>2</v>
      </c>
      <c r="FW109" s="137">
        <f>SUM(EW109:EZ109)</f>
        <v>2</v>
      </c>
      <c r="FX109" s="22">
        <f>SUM(FA109:FD109)</f>
        <v>1</v>
      </c>
      <c r="FY109" s="22">
        <f>SUM(FE109:FH109)</f>
        <v>0</v>
      </c>
      <c r="FZ109" s="94">
        <f t="shared" si="296"/>
        <v>0</v>
      </c>
      <c r="GA109" s="28">
        <f t="shared" si="297"/>
        <v>0</v>
      </c>
    </row>
    <row r="110" spans="1:183">
      <c r="A110" s="219" t="s">
        <v>4048</v>
      </c>
      <c r="B110" s="76"/>
      <c r="N110" s="19">
        <v>0</v>
      </c>
      <c r="O110" s="22">
        <v>0</v>
      </c>
      <c r="P110" s="22">
        <v>0</v>
      </c>
      <c r="Q110" s="22">
        <v>0</v>
      </c>
      <c r="R110" s="22">
        <v>0</v>
      </c>
      <c r="S110" s="22">
        <v>0</v>
      </c>
      <c r="T110" s="22">
        <v>0</v>
      </c>
      <c r="U110" s="22">
        <v>0</v>
      </c>
      <c r="V110" s="22">
        <v>0</v>
      </c>
      <c r="W110" s="22">
        <v>0</v>
      </c>
      <c r="X110" s="22">
        <v>0</v>
      </c>
      <c r="Y110" s="12">
        <v>0</v>
      </c>
      <c r="Z110">
        <v>0</v>
      </c>
      <c r="AA110">
        <v>0</v>
      </c>
      <c r="AB110">
        <v>0</v>
      </c>
      <c r="AC110">
        <v>0</v>
      </c>
      <c r="AD110">
        <v>0</v>
      </c>
      <c r="AE110">
        <v>0</v>
      </c>
      <c r="AF110">
        <v>0</v>
      </c>
      <c r="AG110">
        <v>0</v>
      </c>
      <c r="AH110">
        <v>0</v>
      </c>
      <c r="AI110">
        <v>0</v>
      </c>
      <c r="AJ110">
        <v>0</v>
      </c>
      <c r="AK110">
        <v>0</v>
      </c>
      <c r="AL110" s="19">
        <v>0</v>
      </c>
      <c r="AM110" s="22">
        <v>0</v>
      </c>
      <c r="AN110" s="22">
        <v>0</v>
      </c>
      <c r="AO110" s="22">
        <v>0</v>
      </c>
      <c r="AP110" s="22">
        <v>0</v>
      </c>
      <c r="AQ110" s="22">
        <v>0</v>
      </c>
      <c r="AR110" s="23">
        <v>0</v>
      </c>
      <c r="AS110" s="23">
        <v>0</v>
      </c>
      <c r="AT110" s="22">
        <v>0</v>
      </c>
      <c r="AU110" s="22">
        <v>0</v>
      </c>
      <c r="AV110" s="22">
        <v>0</v>
      </c>
      <c r="AW110" s="12">
        <v>0</v>
      </c>
      <c r="AX110" s="19">
        <v>0</v>
      </c>
      <c r="AY110" s="22">
        <v>0</v>
      </c>
      <c r="AZ110" s="22">
        <v>0</v>
      </c>
      <c r="BA110" s="22">
        <v>0</v>
      </c>
      <c r="BB110" s="22">
        <v>0</v>
      </c>
      <c r="BC110" s="22">
        <v>0</v>
      </c>
      <c r="BD110" s="22">
        <v>0</v>
      </c>
      <c r="BE110" s="22">
        <v>0</v>
      </c>
      <c r="BF110" s="22">
        <v>0</v>
      </c>
      <c r="BG110" s="22">
        <v>0</v>
      </c>
      <c r="BH110" s="22">
        <v>0</v>
      </c>
      <c r="BI110" s="12">
        <v>0</v>
      </c>
      <c r="BJ110">
        <v>0</v>
      </c>
      <c r="BK110">
        <v>0</v>
      </c>
      <c r="BL110">
        <v>0</v>
      </c>
      <c r="BM110">
        <v>0</v>
      </c>
      <c r="BN110">
        <v>0</v>
      </c>
      <c r="BO110">
        <v>0</v>
      </c>
      <c r="BP110">
        <v>0</v>
      </c>
      <c r="BQ110">
        <v>0</v>
      </c>
      <c r="BR110">
        <v>0</v>
      </c>
      <c r="BS110">
        <v>0</v>
      </c>
      <c r="BT110">
        <v>0</v>
      </c>
      <c r="BU110">
        <v>0</v>
      </c>
      <c r="BV110" s="19">
        <v>0</v>
      </c>
      <c r="BW110" s="22">
        <v>0</v>
      </c>
      <c r="BX110" s="22">
        <v>0</v>
      </c>
      <c r="BY110" s="22">
        <v>0</v>
      </c>
      <c r="BZ110" s="22">
        <v>0</v>
      </c>
      <c r="CA110" s="22">
        <v>0</v>
      </c>
      <c r="CB110" s="22">
        <v>0</v>
      </c>
      <c r="CC110" s="22">
        <v>0</v>
      </c>
      <c r="CD110" s="22">
        <v>0</v>
      </c>
      <c r="CE110" s="22">
        <v>0</v>
      </c>
      <c r="CF110" s="22">
        <v>0</v>
      </c>
      <c r="CG110" s="22">
        <v>0</v>
      </c>
      <c r="CH110" s="19">
        <v>0</v>
      </c>
      <c r="CI110" s="22">
        <v>0</v>
      </c>
      <c r="CJ110" s="22">
        <v>0</v>
      </c>
      <c r="CK110" s="22">
        <v>0</v>
      </c>
      <c r="CL110" s="22">
        <v>0</v>
      </c>
      <c r="CM110" s="22">
        <v>0</v>
      </c>
      <c r="CN110" s="22">
        <v>0</v>
      </c>
      <c r="CO110" s="22">
        <v>0</v>
      </c>
      <c r="CP110" s="22">
        <v>0</v>
      </c>
      <c r="CQ110" s="22">
        <v>0</v>
      </c>
      <c r="CR110" s="22">
        <v>0</v>
      </c>
      <c r="CS110" s="12">
        <v>0</v>
      </c>
      <c r="CT110" s="19">
        <v>0</v>
      </c>
      <c r="CU110" s="22">
        <v>0</v>
      </c>
      <c r="CV110" s="22">
        <v>0</v>
      </c>
      <c r="CW110" s="22">
        <v>0</v>
      </c>
      <c r="CX110" s="22">
        <v>0</v>
      </c>
      <c r="CY110" s="22">
        <v>0</v>
      </c>
      <c r="CZ110" s="22">
        <v>0</v>
      </c>
      <c r="DA110" s="22">
        <v>0</v>
      </c>
      <c r="DB110" s="22">
        <v>0</v>
      </c>
      <c r="DC110" s="22">
        <v>0</v>
      </c>
      <c r="DD110" s="22">
        <v>0</v>
      </c>
      <c r="DE110" s="12">
        <v>0</v>
      </c>
      <c r="DF110" s="19">
        <v>0</v>
      </c>
      <c r="DG110" s="22">
        <v>0</v>
      </c>
      <c r="DH110" s="22">
        <v>0</v>
      </c>
      <c r="DI110" s="22">
        <v>0</v>
      </c>
      <c r="DJ110" s="22">
        <v>0</v>
      </c>
      <c r="DK110" s="22">
        <v>0</v>
      </c>
      <c r="DL110" s="22">
        <v>0</v>
      </c>
      <c r="DM110" s="22">
        <v>0</v>
      </c>
      <c r="DN110" s="22">
        <v>0</v>
      </c>
      <c r="DO110" s="22">
        <v>0</v>
      </c>
      <c r="DP110" s="22">
        <v>0</v>
      </c>
      <c r="DQ110" s="12">
        <v>0</v>
      </c>
      <c r="DR110" s="19">
        <v>0</v>
      </c>
      <c r="DS110" s="22">
        <v>0</v>
      </c>
      <c r="DT110" s="22">
        <v>0</v>
      </c>
      <c r="DU110" s="22">
        <v>0</v>
      </c>
      <c r="DV110" s="22">
        <v>0</v>
      </c>
      <c r="DW110" s="22">
        <v>0</v>
      </c>
      <c r="DX110" s="22">
        <v>0</v>
      </c>
      <c r="DY110" s="22">
        <v>0</v>
      </c>
      <c r="DZ110" s="22">
        <v>0</v>
      </c>
      <c r="EA110" s="22">
        <v>0</v>
      </c>
      <c r="EB110" s="22">
        <v>0</v>
      </c>
      <c r="EC110" s="12">
        <v>0</v>
      </c>
      <c r="ED110" s="12">
        <f t="shared" si="260"/>
        <v>0</v>
      </c>
      <c r="EF110" s="6">
        <f t="shared" ref="EF110" si="308">+W110+X110+Y110</f>
        <v>0</v>
      </c>
      <c r="EG110" s="19">
        <f t="shared" ref="EG110" si="309">+Z110+AA110+AB110</f>
        <v>0</v>
      </c>
      <c r="EH110" s="22">
        <f t="shared" ref="EH110" si="310">+AC110+AD110+AE110</f>
        <v>0</v>
      </c>
      <c r="EI110" s="22">
        <f t="shared" ref="EI110" si="311">+AF110+AG110+AH110</f>
        <v>0</v>
      </c>
      <c r="EJ110" s="12">
        <f t="shared" ref="EJ110" si="312">+AI110+AJ110+AK110</f>
        <v>0</v>
      </c>
      <c r="EK110" s="22">
        <f t="shared" ref="EK110" si="313">+AL110+AM110+AN110</f>
        <v>0</v>
      </c>
      <c r="EL110" s="22">
        <f t="shared" ref="EL110" si="314">+AO110+AP110+AQ110</f>
        <v>0</v>
      </c>
      <c r="EM110" s="22">
        <f t="shared" ref="EM110" si="315">+AR110+AS110+AT110</f>
        <v>0</v>
      </c>
      <c r="EN110" s="22">
        <f t="shared" ref="EN110" si="316">+AU110+AV110+AW110</f>
        <v>0</v>
      </c>
      <c r="EO110" s="19">
        <f t="shared" ref="EO110" si="317">+AX110+AY110+AZ110</f>
        <v>0</v>
      </c>
      <c r="EP110" s="22">
        <f t="shared" ref="EP110" si="318">+BA110+BB110+BC110</f>
        <v>0</v>
      </c>
      <c r="EQ110" s="22">
        <f t="shared" ref="EQ110" si="319">+BD110+BE110+BF110</f>
        <v>0</v>
      </c>
      <c r="ER110" s="12">
        <f t="shared" ref="ER110" si="320">+BG110+BH110+BI110</f>
        <v>0</v>
      </c>
      <c r="ES110" s="90">
        <f t="shared" ref="ES110" si="321">SUM(BJ110:BL110)</f>
        <v>0</v>
      </c>
      <c r="ET110" s="94">
        <f t="shared" ref="ET110" si="322">SUM(BM110:BO110)</f>
        <v>0</v>
      </c>
      <c r="EU110" s="94">
        <f t="shared" ref="EU110" si="323">SUM(BP110:BR110)</f>
        <v>0</v>
      </c>
      <c r="EV110" s="28">
        <f t="shared" ref="EV110" si="324">SUM(BS110:BU110)</f>
        <v>0</v>
      </c>
      <c r="EW110" s="90">
        <f t="shared" ref="EW110" si="325">SUM(BV110:BX110)</f>
        <v>0</v>
      </c>
      <c r="EX110" s="94">
        <f t="shared" ref="EX110" si="326">SUM(BY110:CA110)</f>
        <v>0</v>
      </c>
      <c r="EY110" s="94">
        <f t="shared" ref="EY110" si="327">SUM(CB110:CD110)</f>
        <v>0</v>
      </c>
      <c r="EZ110" s="28">
        <f t="shared" ref="EZ110" si="328">SUM(CE110:CG110)</f>
        <v>0</v>
      </c>
      <c r="FA110" s="90">
        <f t="shared" ref="FA110" si="329">SUM(CH110:CJ110)</f>
        <v>0</v>
      </c>
      <c r="FB110" s="94">
        <f t="shared" ref="FB110" si="330">SUM(CK110:CM110)</f>
        <v>0</v>
      </c>
      <c r="FC110" s="94">
        <f t="shared" ref="FC110" si="331">SUM(CN110:CP110)</f>
        <v>0</v>
      </c>
      <c r="FD110" s="28">
        <f t="shared" ref="FD110" si="332">SUM(CQ110:CS110)</f>
        <v>0</v>
      </c>
      <c r="FE110" s="90">
        <f t="shared" ref="FE110" si="333">SUM(CT110:CV110)</f>
        <v>0</v>
      </c>
      <c r="FF110" s="94">
        <f t="shared" ref="FF110" si="334">SUM(CW110:CY110)</f>
        <v>0</v>
      </c>
      <c r="FG110" s="94">
        <f t="shared" ref="FG110" si="335">SUM(CZ110:DB110)</f>
        <v>0</v>
      </c>
      <c r="FH110" s="28">
        <f t="shared" ref="FH110" si="336">SUM(DC110:DE110)</f>
        <v>0</v>
      </c>
      <c r="FI110" s="90">
        <f t="shared" si="280"/>
        <v>0</v>
      </c>
      <c r="FJ110" s="94">
        <f t="shared" si="281"/>
        <v>0</v>
      </c>
      <c r="FK110" s="94">
        <f t="shared" si="282"/>
        <v>0</v>
      </c>
      <c r="FL110" s="28">
        <f t="shared" si="283"/>
        <v>0</v>
      </c>
      <c r="FM110" s="90">
        <f t="shared" si="284"/>
        <v>0</v>
      </c>
      <c r="FN110" s="94">
        <f t="shared" si="285"/>
        <v>0</v>
      </c>
      <c r="FO110" s="94">
        <f t="shared" si="286"/>
        <v>0</v>
      </c>
      <c r="FP110" s="28">
        <f t="shared" si="287"/>
        <v>0</v>
      </c>
      <c r="FR110" s="125">
        <f>SUM(EF110:EF110)</f>
        <v>0</v>
      </c>
      <c r="FS110" s="156">
        <f>SUM(EG110:EJ110)</f>
        <v>0</v>
      </c>
      <c r="FT110" s="156">
        <f>SUM(EK110:EN110)</f>
        <v>0</v>
      </c>
      <c r="FU110" s="156">
        <f>SUM(EO110:ER110)</f>
        <v>0</v>
      </c>
      <c r="FV110" s="137">
        <f>SUM(ES110:EV110)</f>
        <v>0</v>
      </c>
      <c r="FW110" s="137">
        <f>SUM(EW110:EZ110)</f>
        <v>0</v>
      </c>
      <c r="FX110" s="22">
        <f>SUM(FA110:FD110)</f>
        <v>0</v>
      </c>
      <c r="FY110" s="22">
        <f>SUM(FE110:FH110)</f>
        <v>0</v>
      </c>
      <c r="FZ110" s="94">
        <f t="shared" si="296"/>
        <v>0</v>
      </c>
      <c r="GA110" s="28">
        <f t="shared" si="297"/>
        <v>0</v>
      </c>
    </row>
    <row r="111" spans="1:183">
      <c r="A111" s="219" t="s">
        <v>981</v>
      </c>
      <c r="B111" s="76"/>
      <c r="C111">
        <v>0</v>
      </c>
      <c r="D111">
        <v>0</v>
      </c>
      <c r="E111">
        <v>0</v>
      </c>
      <c r="F111">
        <v>0</v>
      </c>
      <c r="G111">
        <v>0</v>
      </c>
      <c r="H111">
        <v>0</v>
      </c>
      <c r="I111">
        <v>0</v>
      </c>
      <c r="J111">
        <v>0</v>
      </c>
      <c r="K111">
        <v>0</v>
      </c>
      <c r="L111">
        <v>0</v>
      </c>
      <c r="M111">
        <v>0</v>
      </c>
      <c r="N111" s="19">
        <v>0</v>
      </c>
      <c r="O111" s="22">
        <v>0</v>
      </c>
      <c r="P111" s="22">
        <v>0</v>
      </c>
      <c r="Q111" s="22">
        <v>0</v>
      </c>
      <c r="R111" s="22">
        <v>0</v>
      </c>
      <c r="S111" s="22">
        <v>0</v>
      </c>
      <c r="T111" s="22">
        <v>0</v>
      </c>
      <c r="U111" s="22">
        <v>0</v>
      </c>
      <c r="V111" s="22">
        <v>0</v>
      </c>
      <c r="W111" s="22">
        <v>0</v>
      </c>
      <c r="X111" s="22">
        <v>0</v>
      </c>
      <c r="Y111" s="12">
        <v>0</v>
      </c>
      <c r="Z111">
        <v>0</v>
      </c>
      <c r="AA111">
        <v>0</v>
      </c>
      <c r="AB111">
        <v>0</v>
      </c>
      <c r="AC111">
        <v>0</v>
      </c>
      <c r="AD111">
        <v>0</v>
      </c>
      <c r="AE111">
        <v>0</v>
      </c>
      <c r="AF111">
        <v>2</v>
      </c>
      <c r="AG111">
        <v>0</v>
      </c>
      <c r="AH111">
        <v>0</v>
      </c>
      <c r="AI111">
        <v>2</v>
      </c>
      <c r="AJ111">
        <v>1</v>
      </c>
      <c r="AK111">
        <v>0</v>
      </c>
      <c r="AL111" s="19">
        <v>0</v>
      </c>
      <c r="AM111" s="22">
        <v>0</v>
      </c>
      <c r="AN111" s="22">
        <v>3</v>
      </c>
      <c r="AO111" s="22">
        <v>2</v>
      </c>
      <c r="AP111" s="22">
        <v>1</v>
      </c>
      <c r="AQ111" s="22">
        <v>1</v>
      </c>
      <c r="AR111" s="23">
        <v>1</v>
      </c>
      <c r="AS111" s="23">
        <v>1</v>
      </c>
      <c r="AT111" s="22">
        <v>3</v>
      </c>
      <c r="AU111" s="22">
        <v>0</v>
      </c>
      <c r="AV111" s="22">
        <v>0</v>
      </c>
      <c r="AW111" s="12">
        <v>1</v>
      </c>
      <c r="AX111" s="19">
        <v>0</v>
      </c>
      <c r="AY111" s="22">
        <v>0</v>
      </c>
      <c r="AZ111" s="22">
        <v>0</v>
      </c>
      <c r="BA111" s="22">
        <v>0</v>
      </c>
      <c r="BB111" s="22">
        <v>0</v>
      </c>
      <c r="BC111" s="22">
        <v>1</v>
      </c>
      <c r="BD111" s="22">
        <v>1</v>
      </c>
      <c r="BE111" s="22">
        <v>2</v>
      </c>
      <c r="BF111" s="22">
        <v>0</v>
      </c>
      <c r="BG111" s="22">
        <v>0</v>
      </c>
      <c r="BH111" s="22">
        <v>0</v>
      </c>
      <c r="BI111" s="12">
        <v>0</v>
      </c>
      <c r="BJ111">
        <v>0</v>
      </c>
      <c r="BK111">
        <v>3</v>
      </c>
      <c r="BL111">
        <v>0</v>
      </c>
      <c r="BM111">
        <v>0</v>
      </c>
      <c r="BN111">
        <v>5</v>
      </c>
      <c r="BO111">
        <v>3</v>
      </c>
      <c r="BP111">
        <v>4</v>
      </c>
      <c r="BQ111">
        <v>2</v>
      </c>
      <c r="BR111">
        <v>4</v>
      </c>
      <c r="BS111">
        <v>0</v>
      </c>
      <c r="BT111">
        <v>1</v>
      </c>
      <c r="BU111">
        <v>0</v>
      </c>
      <c r="BV111" s="19">
        <v>2</v>
      </c>
      <c r="BW111" s="22">
        <v>1</v>
      </c>
      <c r="BX111" s="22">
        <v>0</v>
      </c>
      <c r="BY111" s="22">
        <v>1</v>
      </c>
      <c r="BZ111" s="22">
        <v>0</v>
      </c>
      <c r="CA111" s="22">
        <v>0</v>
      </c>
      <c r="CB111" s="22">
        <v>0</v>
      </c>
      <c r="CC111" s="22">
        <v>0</v>
      </c>
      <c r="CD111" s="22">
        <v>1</v>
      </c>
      <c r="CE111" s="22">
        <v>0</v>
      </c>
      <c r="CF111" s="22">
        <v>1</v>
      </c>
      <c r="CG111" s="22">
        <v>0</v>
      </c>
      <c r="CH111" s="788">
        <v>0</v>
      </c>
      <c r="CI111" s="22">
        <v>0</v>
      </c>
      <c r="CJ111" s="22">
        <v>0</v>
      </c>
      <c r="CK111" s="22">
        <v>2</v>
      </c>
      <c r="CL111" s="22">
        <v>0</v>
      </c>
      <c r="CM111" s="22">
        <v>0</v>
      </c>
      <c r="CN111" s="22">
        <v>0</v>
      </c>
      <c r="CO111" s="22">
        <v>2</v>
      </c>
      <c r="CP111" s="22">
        <v>0</v>
      </c>
      <c r="CQ111" s="22">
        <v>0</v>
      </c>
      <c r="CR111" s="22">
        <v>0</v>
      </c>
      <c r="CS111" s="12">
        <v>0</v>
      </c>
      <c r="CT111" s="788">
        <v>0</v>
      </c>
      <c r="CU111" s="22">
        <v>1</v>
      </c>
      <c r="CV111" s="22">
        <v>0</v>
      </c>
      <c r="CW111" s="22">
        <v>0</v>
      </c>
      <c r="CX111" s="22">
        <v>0</v>
      </c>
      <c r="CY111" s="22">
        <v>0</v>
      </c>
      <c r="CZ111" s="22">
        <v>0</v>
      </c>
      <c r="DA111" s="22">
        <v>0</v>
      </c>
      <c r="DB111" s="22">
        <v>0</v>
      </c>
      <c r="DC111" s="22">
        <v>0</v>
      </c>
      <c r="DD111" s="22">
        <v>0</v>
      </c>
      <c r="DE111" s="12">
        <v>0</v>
      </c>
      <c r="DF111" s="788">
        <v>0</v>
      </c>
      <c r="DG111" s="22">
        <v>0</v>
      </c>
      <c r="DH111" s="22">
        <v>0</v>
      </c>
      <c r="DI111" s="22">
        <v>0</v>
      </c>
      <c r="DJ111" s="22">
        <v>0</v>
      </c>
      <c r="DK111" s="22">
        <v>0</v>
      </c>
      <c r="DL111" s="22">
        <v>0</v>
      </c>
      <c r="DM111" s="22">
        <v>0</v>
      </c>
      <c r="DN111" s="22">
        <v>0</v>
      </c>
      <c r="DO111" s="22">
        <v>0</v>
      </c>
      <c r="DP111" s="22">
        <v>0</v>
      </c>
      <c r="DQ111" s="12">
        <v>0</v>
      </c>
      <c r="DR111" s="788">
        <v>0</v>
      </c>
      <c r="DS111" s="22">
        <v>0</v>
      </c>
      <c r="DT111" s="22">
        <v>0</v>
      </c>
      <c r="DU111" s="22">
        <v>0</v>
      </c>
      <c r="DV111" s="22">
        <v>0</v>
      </c>
      <c r="DW111" s="22">
        <v>0</v>
      </c>
      <c r="DX111" s="22">
        <v>0</v>
      </c>
      <c r="DY111" s="22">
        <v>0</v>
      </c>
      <c r="DZ111" s="22">
        <v>0</v>
      </c>
      <c r="EA111" s="22">
        <v>0</v>
      </c>
      <c r="EB111" s="22">
        <v>0</v>
      </c>
      <c r="EC111" s="12">
        <v>0</v>
      </c>
      <c r="ED111" s="12">
        <f t="shared" si="260"/>
        <v>55</v>
      </c>
      <c r="EF111" s="6">
        <f t="shared" si="261"/>
        <v>0</v>
      </c>
      <c r="EG111" s="19">
        <f t="shared" si="262"/>
        <v>0</v>
      </c>
      <c r="EH111" s="22">
        <f t="shared" si="263"/>
        <v>0</v>
      </c>
      <c r="EI111" s="22">
        <f t="shared" si="264"/>
        <v>2</v>
      </c>
      <c r="EJ111" s="12">
        <f t="shared" si="265"/>
        <v>3</v>
      </c>
      <c r="EK111" s="22">
        <f t="shared" si="266"/>
        <v>3</v>
      </c>
      <c r="EL111" s="22">
        <f t="shared" si="267"/>
        <v>4</v>
      </c>
      <c r="EM111" s="22">
        <f t="shared" si="268"/>
        <v>5</v>
      </c>
      <c r="EN111" s="22">
        <f t="shared" si="269"/>
        <v>1</v>
      </c>
      <c r="EO111" s="19">
        <f t="shared" si="298"/>
        <v>0</v>
      </c>
      <c r="EP111" s="22">
        <f t="shared" si="299"/>
        <v>1</v>
      </c>
      <c r="EQ111" s="22">
        <f t="shared" si="300"/>
        <v>3</v>
      </c>
      <c r="ER111" s="12">
        <f t="shared" si="301"/>
        <v>0</v>
      </c>
      <c r="ES111" s="90">
        <f t="shared" si="270"/>
        <v>3</v>
      </c>
      <c r="ET111" s="94">
        <f t="shared" si="271"/>
        <v>8</v>
      </c>
      <c r="EU111" s="94">
        <f t="shared" si="302"/>
        <v>10</v>
      </c>
      <c r="EV111" s="28">
        <f t="shared" si="303"/>
        <v>1</v>
      </c>
      <c r="EW111" s="90">
        <f t="shared" si="272"/>
        <v>3</v>
      </c>
      <c r="EX111" s="94">
        <f t="shared" si="273"/>
        <v>1</v>
      </c>
      <c r="EY111" s="94">
        <f t="shared" si="274"/>
        <v>1</v>
      </c>
      <c r="EZ111" s="28">
        <f t="shared" si="275"/>
        <v>1</v>
      </c>
      <c r="FA111" s="90">
        <f t="shared" si="304"/>
        <v>0</v>
      </c>
      <c r="FB111" s="94">
        <f t="shared" si="305"/>
        <v>2</v>
      </c>
      <c r="FC111" s="94">
        <f t="shared" si="306"/>
        <v>2</v>
      </c>
      <c r="FD111" s="28">
        <f t="shared" si="307"/>
        <v>0</v>
      </c>
      <c r="FE111" s="90">
        <f t="shared" si="276"/>
        <v>1</v>
      </c>
      <c r="FF111" s="94">
        <f t="shared" si="277"/>
        <v>0</v>
      </c>
      <c r="FG111" s="94">
        <f t="shared" si="278"/>
        <v>0</v>
      </c>
      <c r="FH111" s="28">
        <f t="shared" si="279"/>
        <v>0</v>
      </c>
      <c r="FI111" s="90">
        <f t="shared" si="280"/>
        <v>0</v>
      </c>
      <c r="FJ111" s="94">
        <f t="shared" si="281"/>
        <v>0</v>
      </c>
      <c r="FK111" s="94">
        <f t="shared" si="282"/>
        <v>0</v>
      </c>
      <c r="FL111" s="28">
        <f t="shared" si="283"/>
        <v>0</v>
      </c>
      <c r="FM111" s="90">
        <f t="shared" si="284"/>
        <v>0</v>
      </c>
      <c r="FN111" s="94">
        <f t="shared" si="285"/>
        <v>0</v>
      </c>
      <c r="FO111" s="94">
        <f t="shared" si="286"/>
        <v>0</v>
      </c>
      <c r="FP111" s="28">
        <f t="shared" si="287"/>
        <v>0</v>
      </c>
      <c r="FR111" s="125">
        <f t="shared" si="288"/>
        <v>0</v>
      </c>
      <c r="FS111" s="156">
        <f t="shared" si="289"/>
        <v>5</v>
      </c>
      <c r="FT111" s="156">
        <f t="shared" si="290"/>
        <v>13</v>
      </c>
      <c r="FU111" s="156">
        <f t="shared" si="291"/>
        <v>4</v>
      </c>
      <c r="FV111" s="137">
        <f t="shared" si="292"/>
        <v>22</v>
      </c>
      <c r="FW111" s="137">
        <f t="shared" si="293"/>
        <v>6</v>
      </c>
      <c r="FX111" s="22">
        <f t="shared" si="294"/>
        <v>4</v>
      </c>
      <c r="FY111" s="22">
        <f t="shared" si="295"/>
        <v>1</v>
      </c>
      <c r="FZ111" s="94">
        <f t="shared" si="296"/>
        <v>0</v>
      </c>
      <c r="GA111" s="28">
        <f t="shared" si="297"/>
        <v>0</v>
      </c>
    </row>
    <row r="112" spans="1:183">
      <c r="A112" s="136" t="s">
        <v>2318</v>
      </c>
      <c r="B112" s="76"/>
      <c r="C112">
        <v>0</v>
      </c>
      <c r="D112">
        <v>0</v>
      </c>
      <c r="E112">
        <v>0</v>
      </c>
      <c r="F112">
        <v>0</v>
      </c>
      <c r="G112">
        <v>0</v>
      </c>
      <c r="H112">
        <v>0</v>
      </c>
      <c r="I112">
        <v>0</v>
      </c>
      <c r="J112">
        <v>0</v>
      </c>
      <c r="K112">
        <v>0</v>
      </c>
      <c r="L112">
        <v>0</v>
      </c>
      <c r="M112">
        <v>0</v>
      </c>
      <c r="N112" s="19">
        <v>0</v>
      </c>
      <c r="O112" s="22">
        <v>0</v>
      </c>
      <c r="P112" s="22">
        <v>0</v>
      </c>
      <c r="Q112" s="22">
        <v>0</v>
      </c>
      <c r="R112" s="22">
        <v>0</v>
      </c>
      <c r="S112" s="22">
        <v>0</v>
      </c>
      <c r="T112" s="22">
        <v>0</v>
      </c>
      <c r="U112" s="22">
        <v>0</v>
      </c>
      <c r="V112" s="22">
        <v>0</v>
      </c>
      <c r="W112" s="22">
        <v>0</v>
      </c>
      <c r="X112" s="22">
        <v>0</v>
      </c>
      <c r="Y112" s="12">
        <v>0</v>
      </c>
      <c r="Z112">
        <v>0</v>
      </c>
      <c r="AA112">
        <v>0</v>
      </c>
      <c r="AB112">
        <v>0</v>
      </c>
      <c r="AC112">
        <v>0</v>
      </c>
      <c r="AD112">
        <v>0</v>
      </c>
      <c r="AE112">
        <v>0</v>
      </c>
      <c r="AF112">
        <v>0</v>
      </c>
      <c r="AG112">
        <v>0</v>
      </c>
      <c r="AH112">
        <v>0</v>
      </c>
      <c r="AI112">
        <v>0</v>
      </c>
      <c r="AJ112">
        <v>0</v>
      </c>
      <c r="AK112">
        <v>0</v>
      </c>
      <c r="AL112" s="19">
        <v>1</v>
      </c>
      <c r="AM112" s="22">
        <v>0</v>
      </c>
      <c r="AN112" s="22">
        <v>0</v>
      </c>
      <c r="AO112" s="22">
        <v>0</v>
      </c>
      <c r="AP112" s="22">
        <v>0</v>
      </c>
      <c r="AQ112" s="22">
        <v>0</v>
      </c>
      <c r="AR112" s="23">
        <v>0</v>
      </c>
      <c r="AS112" s="23">
        <v>0</v>
      </c>
      <c r="AT112" s="22">
        <v>0</v>
      </c>
      <c r="AU112" s="22">
        <v>0</v>
      </c>
      <c r="AV112" s="22">
        <v>0</v>
      </c>
      <c r="AW112" s="12">
        <v>0</v>
      </c>
      <c r="AX112" s="19">
        <v>0</v>
      </c>
      <c r="AY112" s="22">
        <v>0</v>
      </c>
      <c r="AZ112" s="22">
        <v>0</v>
      </c>
      <c r="BA112" s="22">
        <v>0</v>
      </c>
      <c r="BB112" s="22">
        <v>0</v>
      </c>
      <c r="BC112" s="22">
        <v>0</v>
      </c>
      <c r="BD112" s="22">
        <v>0</v>
      </c>
      <c r="BE112" s="22">
        <v>0</v>
      </c>
      <c r="BF112" s="22">
        <v>0</v>
      </c>
      <c r="BG112" s="22">
        <v>0</v>
      </c>
      <c r="BH112" s="22">
        <v>0</v>
      </c>
      <c r="BI112" s="12">
        <v>1</v>
      </c>
      <c r="BJ112">
        <v>0</v>
      </c>
      <c r="BK112">
        <v>0</v>
      </c>
      <c r="BL112">
        <v>0</v>
      </c>
      <c r="BM112">
        <v>0</v>
      </c>
      <c r="BN112">
        <v>0</v>
      </c>
      <c r="BO112">
        <v>0</v>
      </c>
      <c r="BP112">
        <v>0</v>
      </c>
      <c r="BQ112">
        <v>0</v>
      </c>
      <c r="BR112">
        <v>0</v>
      </c>
      <c r="BS112">
        <v>0</v>
      </c>
      <c r="BT112">
        <v>0</v>
      </c>
      <c r="BU112">
        <v>0</v>
      </c>
      <c r="BV112" s="19">
        <v>0</v>
      </c>
      <c r="BW112" s="22">
        <v>0</v>
      </c>
      <c r="BX112" s="22">
        <v>1</v>
      </c>
      <c r="BY112" s="22">
        <v>0</v>
      </c>
      <c r="BZ112" s="22">
        <v>0</v>
      </c>
      <c r="CA112" s="22">
        <v>0</v>
      </c>
      <c r="CB112" s="22">
        <v>0</v>
      </c>
      <c r="CC112" s="22">
        <v>0</v>
      </c>
      <c r="CD112" s="22">
        <v>0</v>
      </c>
      <c r="CE112" s="22">
        <v>0</v>
      </c>
      <c r="CF112" s="22">
        <v>0</v>
      </c>
      <c r="CG112" s="22">
        <v>0</v>
      </c>
      <c r="CH112" s="788">
        <v>0</v>
      </c>
      <c r="CI112" s="22">
        <v>0</v>
      </c>
      <c r="CJ112" s="22">
        <v>1</v>
      </c>
      <c r="CK112" s="22">
        <v>0</v>
      </c>
      <c r="CL112" s="22">
        <v>0</v>
      </c>
      <c r="CM112" s="22">
        <v>0</v>
      </c>
      <c r="CN112" s="22">
        <v>4</v>
      </c>
      <c r="CO112" s="22">
        <v>0</v>
      </c>
      <c r="CP112" s="22">
        <v>0</v>
      </c>
      <c r="CQ112" s="22">
        <v>0</v>
      </c>
      <c r="CR112" s="22">
        <v>0</v>
      </c>
      <c r="CS112" s="12">
        <v>0</v>
      </c>
      <c r="CT112" s="788">
        <v>0</v>
      </c>
      <c r="CU112" s="22">
        <v>0</v>
      </c>
      <c r="CV112" s="22">
        <v>0</v>
      </c>
      <c r="CW112" s="22">
        <v>0</v>
      </c>
      <c r="CX112" s="22">
        <v>0</v>
      </c>
      <c r="CY112" s="22">
        <v>0</v>
      </c>
      <c r="CZ112" s="22">
        <v>0</v>
      </c>
      <c r="DA112" s="22">
        <v>0</v>
      </c>
      <c r="DB112" s="22">
        <v>0</v>
      </c>
      <c r="DC112" s="22">
        <v>0</v>
      </c>
      <c r="DD112" s="22">
        <v>0</v>
      </c>
      <c r="DE112" s="12">
        <v>0</v>
      </c>
      <c r="DF112" s="788">
        <v>0</v>
      </c>
      <c r="DG112" s="22">
        <v>0</v>
      </c>
      <c r="DH112" s="22">
        <v>0</v>
      </c>
      <c r="DI112" s="22">
        <v>0</v>
      </c>
      <c r="DJ112" s="22">
        <v>0</v>
      </c>
      <c r="DK112" s="22">
        <v>0</v>
      </c>
      <c r="DL112" s="22">
        <v>0</v>
      </c>
      <c r="DM112" s="22">
        <v>0</v>
      </c>
      <c r="DN112" s="22">
        <v>0</v>
      </c>
      <c r="DO112" s="22">
        <v>0</v>
      </c>
      <c r="DP112" s="22">
        <v>0</v>
      </c>
      <c r="DQ112" s="12">
        <v>0</v>
      </c>
      <c r="DR112" s="788">
        <v>0</v>
      </c>
      <c r="DS112" s="22">
        <v>0</v>
      </c>
      <c r="DT112" s="22">
        <v>0</v>
      </c>
      <c r="DU112" s="22">
        <v>0</v>
      </c>
      <c r="DV112" s="22">
        <v>0</v>
      </c>
      <c r="DW112" s="22">
        <v>0</v>
      </c>
      <c r="DX112" s="22">
        <v>0</v>
      </c>
      <c r="DY112" s="22">
        <v>0</v>
      </c>
      <c r="DZ112" s="22">
        <v>0</v>
      </c>
      <c r="EA112" s="22">
        <v>0</v>
      </c>
      <c r="EB112" s="22">
        <v>0</v>
      </c>
      <c r="EC112" s="12">
        <v>0</v>
      </c>
      <c r="ED112" s="12">
        <f t="shared" si="260"/>
        <v>8</v>
      </c>
      <c r="EF112" s="6">
        <f t="shared" si="261"/>
        <v>0</v>
      </c>
      <c r="EG112" s="19">
        <f t="shared" si="262"/>
        <v>0</v>
      </c>
      <c r="EH112" s="22">
        <f t="shared" si="263"/>
        <v>0</v>
      </c>
      <c r="EI112" s="22">
        <f t="shared" si="264"/>
        <v>0</v>
      </c>
      <c r="EJ112" s="12">
        <f t="shared" si="265"/>
        <v>0</v>
      </c>
      <c r="EK112" s="22">
        <f t="shared" si="266"/>
        <v>1</v>
      </c>
      <c r="EL112" s="22">
        <f t="shared" si="267"/>
        <v>0</v>
      </c>
      <c r="EM112" s="22">
        <f t="shared" si="268"/>
        <v>0</v>
      </c>
      <c r="EN112" s="22">
        <f t="shared" si="269"/>
        <v>0</v>
      </c>
      <c r="EO112" s="19">
        <f t="shared" si="298"/>
        <v>0</v>
      </c>
      <c r="EP112" s="22">
        <f t="shared" si="299"/>
        <v>0</v>
      </c>
      <c r="EQ112" s="22">
        <f t="shared" si="300"/>
        <v>0</v>
      </c>
      <c r="ER112" s="12">
        <f t="shared" si="301"/>
        <v>1</v>
      </c>
      <c r="ES112" s="90">
        <f t="shared" si="270"/>
        <v>0</v>
      </c>
      <c r="ET112" s="94">
        <f t="shared" si="271"/>
        <v>0</v>
      </c>
      <c r="EU112" s="94">
        <f t="shared" si="302"/>
        <v>0</v>
      </c>
      <c r="EV112" s="28">
        <f t="shared" si="303"/>
        <v>0</v>
      </c>
      <c r="EW112" s="90">
        <f t="shared" si="272"/>
        <v>1</v>
      </c>
      <c r="EX112" s="94">
        <f t="shared" si="273"/>
        <v>0</v>
      </c>
      <c r="EY112" s="94">
        <f t="shared" si="274"/>
        <v>0</v>
      </c>
      <c r="EZ112" s="28">
        <f t="shared" si="275"/>
        <v>0</v>
      </c>
      <c r="FA112" s="90">
        <f t="shared" si="304"/>
        <v>1</v>
      </c>
      <c r="FB112" s="94">
        <f t="shared" si="305"/>
        <v>0</v>
      </c>
      <c r="FC112" s="94">
        <f t="shared" si="306"/>
        <v>4</v>
      </c>
      <c r="FD112" s="28">
        <f t="shared" si="307"/>
        <v>0</v>
      </c>
      <c r="FE112" s="90">
        <f t="shared" si="276"/>
        <v>0</v>
      </c>
      <c r="FF112" s="94">
        <f t="shared" si="277"/>
        <v>0</v>
      </c>
      <c r="FG112" s="94">
        <f t="shared" si="278"/>
        <v>0</v>
      </c>
      <c r="FH112" s="28">
        <f t="shared" si="279"/>
        <v>0</v>
      </c>
      <c r="FI112" s="90">
        <f t="shared" si="280"/>
        <v>0</v>
      </c>
      <c r="FJ112" s="94">
        <f t="shared" si="281"/>
        <v>0</v>
      </c>
      <c r="FK112" s="94">
        <f t="shared" si="282"/>
        <v>0</v>
      </c>
      <c r="FL112" s="28">
        <f t="shared" si="283"/>
        <v>0</v>
      </c>
      <c r="FM112" s="90">
        <f t="shared" si="284"/>
        <v>0</v>
      </c>
      <c r="FN112" s="94">
        <f t="shared" si="285"/>
        <v>0</v>
      </c>
      <c r="FO112" s="94">
        <f t="shared" si="286"/>
        <v>0</v>
      </c>
      <c r="FP112" s="28">
        <f t="shared" si="287"/>
        <v>0</v>
      </c>
      <c r="FR112" s="125">
        <f t="shared" si="288"/>
        <v>0</v>
      </c>
      <c r="FS112" s="156">
        <f t="shared" si="289"/>
        <v>0</v>
      </c>
      <c r="FT112" s="156">
        <f t="shared" si="290"/>
        <v>1</v>
      </c>
      <c r="FU112" s="156">
        <f t="shared" si="291"/>
        <v>1</v>
      </c>
      <c r="FV112" s="137">
        <f t="shared" si="292"/>
        <v>0</v>
      </c>
      <c r="FW112" s="137">
        <f t="shared" si="293"/>
        <v>1</v>
      </c>
      <c r="FX112" s="22">
        <f t="shared" si="294"/>
        <v>5</v>
      </c>
      <c r="FY112" s="22">
        <f t="shared" si="295"/>
        <v>0</v>
      </c>
      <c r="FZ112" s="94">
        <f t="shared" si="296"/>
        <v>0</v>
      </c>
      <c r="GA112" s="28">
        <f t="shared" si="297"/>
        <v>0</v>
      </c>
    </row>
    <row r="113" spans="1:183">
      <c r="A113" s="219" t="s">
        <v>1585</v>
      </c>
      <c r="B113" s="76"/>
      <c r="C113">
        <v>0</v>
      </c>
      <c r="D113">
        <v>0</v>
      </c>
      <c r="E113">
        <v>0</v>
      </c>
      <c r="F113">
        <v>0</v>
      </c>
      <c r="G113">
        <v>0</v>
      </c>
      <c r="H113">
        <v>0</v>
      </c>
      <c r="I113">
        <v>0</v>
      </c>
      <c r="J113">
        <v>0</v>
      </c>
      <c r="K113">
        <v>0</v>
      </c>
      <c r="L113">
        <v>0</v>
      </c>
      <c r="M113">
        <v>0</v>
      </c>
      <c r="N113" s="19">
        <v>0</v>
      </c>
      <c r="O113" s="22">
        <v>0</v>
      </c>
      <c r="P113" s="22">
        <v>0</v>
      </c>
      <c r="Q113" s="22">
        <v>0</v>
      </c>
      <c r="R113" s="22">
        <v>0</v>
      </c>
      <c r="S113" s="22">
        <v>0</v>
      </c>
      <c r="T113" s="22">
        <v>0</v>
      </c>
      <c r="U113" s="22">
        <v>0</v>
      </c>
      <c r="V113" s="22">
        <v>0</v>
      </c>
      <c r="W113" s="22">
        <v>0</v>
      </c>
      <c r="X113" s="22">
        <v>0</v>
      </c>
      <c r="Y113" s="12">
        <v>0</v>
      </c>
      <c r="Z113">
        <v>0</v>
      </c>
      <c r="AA113">
        <v>0</v>
      </c>
      <c r="AB113">
        <v>0</v>
      </c>
      <c r="AC113">
        <v>0</v>
      </c>
      <c r="AD113">
        <v>0</v>
      </c>
      <c r="AE113">
        <v>0</v>
      </c>
      <c r="AF113">
        <v>0</v>
      </c>
      <c r="AG113">
        <v>0</v>
      </c>
      <c r="AH113">
        <v>0</v>
      </c>
      <c r="AI113">
        <v>0</v>
      </c>
      <c r="AJ113">
        <v>0</v>
      </c>
      <c r="AK113">
        <v>0</v>
      </c>
      <c r="AL113" s="19">
        <v>0</v>
      </c>
      <c r="AM113" s="22">
        <v>0</v>
      </c>
      <c r="AN113" s="22">
        <v>0</v>
      </c>
      <c r="AO113" s="22">
        <v>0</v>
      </c>
      <c r="AP113" s="22">
        <v>0</v>
      </c>
      <c r="AQ113" s="22">
        <v>0</v>
      </c>
      <c r="AR113" s="23">
        <v>0</v>
      </c>
      <c r="AS113" s="23">
        <v>0</v>
      </c>
      <c r="AT113" s="22">
        <v>0</v>
      </c>
      <c r="AU113" s="22">
        <v>0</v>
      </c>
      <c r="AV113" s="22">
        <v>0</v>
      </c>
      <c r="AW113" s="12">
        <v>0</v>
      </c>
      <c r="AX113" s="19">
        <v>0</v>
      </c>
      <c r="AY113" s="22">
        <v>0</v>
      </c>
      <c r="AZ113" s="22">
        <v>0</v>
      </c>
      <c r="BA113" s="22">
        <v>0</v>
      </c>
      <c r="BB113" s="22">
        <v>0</v>
      </c>
      <c r="BC113" s="22">
        <v>0</v>
      </c>
      <c r="BD113" s="22">
        <v>0</v>
      </c>
      <c r="BE113" s="22">
        <v>0</v>
      </c>
      <c r="BF113" s="22">
        <v>0</v>
      </c>
      <c r="BG113" s="22">
        <v>0</v>
      </c>
      <c r="BH113" s="22">
        <v>0</v>
      </c>
      <c r="BI113" s="12">
        <v>0</v>
      </c>
      <c r="BJ113">
        <v>0</v>
      </c>
      <c r="BK113">
        <v>0</v>
      </c>
      <c r="BL113">
        <v>0</v>
      </c>
      <c r="BM113">
        <v>0</v>
      </c>
      <c r="BN113">
        <v>0</v>
      </c>
      <c r="BO113">
        <v>0</v>
      </c>
      <c r="BP113">
        <v>0</v>
      </c>
      <c r="BQ113">
        <v>0</v>
      </c>
      <c r="BR113">
        <v>0</v>
      </c>
      <c r="BS113">
        <v>0</v>
      </c>
      <c r="BT113">
        <v>0</v>
      </c>
      <c r="BU113">
        <v>0</v>
      </c>
      <c r="BV113" s="19">
        <v>0</v>
      </c>
      <c r="BW113" s="22">
        <v>0</v>
      </c>
      <c r="BX113" s="22">
        <v>0</v>
      </c>
      <c r="BY113" s="22">
        <v>0</v>
      </c>
      <c r="BZ113" s="22">
        <v>0</v>
      </c>
      <c r="CA113" s="22">
        <v>0</v>
      </c>
      <c r="CB113" s="22">
        <v>0</v>
      </c>
      <c r="CC113" s="22">
        <v>0</v>
      </c>
      <c r="CD113" s="22">
        <v>0</v>
      </c>
      <c r="CE113" s="22">
        <v>0</v>
      </c>
      <c r="CF113" s="22">
        <v>0</v>
      </c>
      <c r="CG113" s="22">
        <v>0</v>
      </c>
      <c r="CH113" s="788">
        <v>0</v>
      </c>
      <c r="CI113" s="22">
        <v>0</v>
      </c>
      <c r="CJ113" s="22">
        <v>0</v>
      </c>
      <c r="CK113" s="22">
        <v>0</v>
      </c>
      <c r="CL113" s="22">
        <v>0</v>
      </c>
      <c r="CM113" s="22">
        <v>0</v>
      </c>
      <c r="CN113" s="22">
        <v>0</v>
      </c>
      <c r="CO113" s="22">
        <v>0</v>
      </c>
      <c r="CP113" s="22">
        <v>0</v>
      </c>
      <c r="CQ113" s="22">
        <v>0</v>
      </c>
      <c r="CR113" s="22">
        <v>0</v>
      </c>
      <c r="CS113" s="12">
        <v>0</v>
      </c>
      <c r="CT113" s="788">
        <v>0</v>
      </c>
      <c r="CU113" s="22">
        <v>0</v>
      </c>
      <c r="CV113" s="22">
        <v>0</v>
      </c>
      <c r="CW113" s="22">
        <v>0</v>
      </c>
      <c r="CX113" s="22">
        <v>0</v>
      </c>
      <c r="CY113" s="22">
        <v>0</v>
      </c>
      <c r="CZ113" s="22">
        <v>0</v>
      </c>
      <c r="DA113" s="22">
        <v>0</v>
      </c>
      <c r="DB113" s="22">
        <v>0</v>
      </c>
      <c r="DC113" s="22">
        <v>0</v>
      </c>
      <c r="DD113" s="22">
        <v>0</v>
      </c>
      <c r="DE113" s="12">
        <v>0</v>
      </c>
      <c r="DF113" s="788">
        <v>0</v>
      </c>
      <c r="DG113" s="22">
        <v>0</v>
      </c>
      <c r="DH113" s="22">
        <v>0</v>
      </c>
      <c r="DI113" s="22">
        <v>0</v>
      </c>
      <c r="DJ113" s="22">
        <v>0</v>
      </c>
      <c r="DK113" s="22">
        <v>0</v>
      </c>
      <c r="DL113" s="22">
        <v>0</v>
      </c>
      <c r="DM113" s="22">
        <v>0</v>
      </c>
      <c r="DN113" s="22">
        <v>0</v>
      </c>
      <c r="DO113" s="22">
        <v>0</v>
      </c>
      <c r="DP113" s="22">
        <v>0</v>
      </c>
      <c r="DQ113" s="12">
        <v>0</v>
      </c>
      <c r="DR113" s="788">
        <v>0</v>
      </c>
      <c r="DS113" s="22">
        <v>0</v>
      </c>
      <c r="DT113" s="22">
        <v>0</v>
      </c>
      <c r="DU113" s="22">
        <v>0</v>
      </c>
      <c r="DV113" s="22">
        <v>0</v>
      </c>
      <c r="DW113" s="22">
        <v>0</v>
      </c>
      <c r="DX113" s="22">
        <v>0</v>
      </c>
      <c r="DY113" s="22">
        <v>0</v>
      </c>
      <c r="DZ113" s="22">
        <v>0</v>
      </c>
      <c r="EA113" s="22">
        <v>0</v>
      </c>
      <c r="EB113" s="22">
        <v>0</v>
      </c>
      <c r="EC113" s="12">
        <v>0</v>
      </c>
      <c r="ED113" s="12">
        <f t="shared" si="260"/>
        <v>0</v>
      </c>
      <c r="EF113" s="6">
        <f t="shared" si="261"/>
        <v>0</v>
      </c>
      <c r="EG113" s="19">
        <f t="shared" si="262"/>
        <v>0</v>
      </c>
      <c r="EH113" s="22">
        <f t="shared" si="263"/>
        <v>0</v>
      </c>
      <c r="EI113" s="22">
        <f t="shared" si="264"/>
        <v>0</v>
      </c>
      <c r="EJ113" s="12">
        <f t="shared" si="265"/>
        <v>0</v>
      </c>
      <c r="EK113" s="22">
        <f t="shared" si="266"/>
        <v>0</v>
      </c>
      <c r="EL113" s="22">
        <f t="shared" si="267"/>
        <v>0</v>
      </c>
      <c r="EM113" s="22">
        <f t="shared" si="268"/>
        <v>0</v>
      </c>
      <c r="EN113" s="22">
        <f t="shared" si="269"/>
        <v>0</v>
      </c>
      <c r="EO113" s="19">
        <f t="shared" si="298"/>
        <v>0</v>
      </c>
      <c r="EP113" s="22">
        <f t="shared" si="299"/>
        <v>0</v>
      </c>
      <c r="EQ113" s="22">
        <f t="shared" si="300"/>
        <v>0</v>
      </c>
      <c r="ER113" s="12">
        <f t="shared" si="301"/>
        <v>0</v>
      </c>
      <c r="ES113" s="90">
        <f t="shared" si="270"/>
        <v>0</v>
      </c>
      <c r="ET113" s="94">
        <f t="shared" si="271"/>
        <v>0</v>
      </c>
      <c r="EU113" s="94">
        <f t="shared" si="302"/>
        <v>0</v>
      </c>
      <c r="EV113" s="28">
        <f t="shared" si="303"/>
        <v>0</v>
      </c>
      <c r="EW113" s="90">
        <f t="shared" si="272"/>
        <v>0</v>
      </c>
      <c r="EX113" s="94">
        <f t="shared" si="273"/>
        <v>0</v>
      </c>
      <c r="EY113" s="94">
        <f t="shared" si="274"/>
        <v>0</v>
      </c>
      <c r="EZ113" s="28">
        <f t="shared" si="275"/>
        <v>0</v>
      </c>
      <c r="FA113" s="90">
        <f t="shared" si="304"/>
        <v>0</v>
      </c>
      <c r="FB113" s="94">
        <f t="shared" si="305"/>
        <v>0</v>
      </c>
      <c r="FC113" s="94">
        <f t="shared" si="306"/>
        <v>0</v>
      </c>
      <c r="FD113" s="28">
        <f t="shared" si="307"/>
        <v>0</v>
      </c>
      <c r="FE113" s="90">
        <f t="shared" si="276"/>
        <v>0</v>
      </c>
      <c r="FF113" s="94">
        <f t="shared" si="277"/>
        <v>0</v>
      </c>
      <c r="FG113" s="94">
        <f t="shared" si="278"/>
        <v>0</v>
      </c>
      <c r="FH113" s="28">
        <f t="shared" si="279"/>
        <v>0</v>
      </c>
      <c r="FI113" s="90">
        <f t="shared" si="280"/>
        <v>0</v>
      </c>
      <c r="FJ113" s="94">
        <f t="shared" si="281"/>
        <v>0</v>
      </c>
      <c r="FK113" s="94">
        <f t="shared" si="282"/>
        <v>0</v>
      </c>
      <c r="FL113" s="28">
        <f t="shared" si="283"/>
        <v>0</v>
      </c>
      <c r="FM113" s="90">
        <f t="shared" si="284"/>
        <v>0</v>
      </c>
      <c r="FN113" s="94">
        <f t="shared" si="285"/>
        <v>0</v>
      </c>
      <c r="FO113" s="94">
        <f t="shared" si="286"/>
        <v>0</v>
      </c>
      <c r="FP113" s="28">
        <f t="shared" si="287"/>
        <v>0</v>
      </c>
      <c r="FR113" s="125">
        <f t="shared" si="288"/>
        <v>0</v>
      </c>
      <c r="FS113" s="156">
        <f t="shared" si="289"/>
        <v>0</v>
      </c>
      <c r="FT113" s="156">
        <f t="shared" si="290"/>
        <v>0</v>
      </c>
      <c r="FU113" s="156">
        <f t="shared" si="291"/>
        <v>0</v>
      </c>
      <c r="FV113" s="137">
        <f t="shared" si="292"/>
        <v>0</v>
      </c>
      <c r="FW113" s="137">
        <f t="shared" si="293"/>
        <v>0</v>
      </c>
      <c r="FX113" s="22">
        <f t="shared" si="294"/>
        <v>0</v>
      </c>
      <c r="FY113" s="22">
        <f t="shared" si="295"/>
        <v>0</v>
      </c>
      <c r="FZ113" s="94">
        <f t="shared" si="296"/>
        <v>0</v>
      </c>
      <c r="GA113" s="28">
        <f t="shared" si="297"/>
        <v>0</v>
      </c>
    </row>
    <row r="114" spans="1:183">
      <c r="A114" s="219" t="s">
        <v>701</v>
      </c>
      <c r="B114" s="76"/>
      <c r="C114">
        <v>0</v>
      </c>
      <c r="D114">
        <v>0</v>
      </c>
      <c r="E114">
        <v>0</v>
      </c>
      <c r="F114">
        <v>0</v>
      </c>
      <c r="G114">
        <v>0</v>
      </c>
      <c r="H114">
        <v>0</v>
      </c>
      <c r="I114">
        <v>0</v>
      </c>
      <c r="J114">
        <v>0</v>
      </c>
      <c r="K114">
        <v>0</v>
      </c>
      <c r="L114">
        <v>0</v>
      </c>
      <c r="M114">
        <v>0</v>
      </c>
      <c r="N114" s="19">
        <v>0</v>
      </c>
      <c r="O114" s="22">
        <v>0</v>
      </c>
      <c r="P114" s="22">
        <v>0</v>
      </c>
      <c r="Q114" s="22">
        <v>0</v>
      </c>
      <c r="R114" s="22">
        <v>0</v>
      </c>
      <c r="S114" s="22">
        <v>0</v>
      </c>
      <c r="T114" s="22">
        <v>0</v>
      </c>
      <c r="U114" s="22">
        <v>0</v>
      </c>
      <c r="V114" s="22">
        <v>0</v>
      </c>
      <c r="W114" s="22">
        <v>0</v>
      </c>
      <c r="X114" s="22">
        <v>0</v>
      </c>
      <c r="Y114" s="12">
        <v>0</v>
      </c>
      <c r="Z114">
        <v>0</v>
      </c>
      <c r="AA114">
        <v>0</v>
      </c>
      <c r="AB114">
        <v>0</v>
      </c>
      <c r="AC114">
        <v>0</v>
      </c>
      <c r="AD114">
        <v>0</v>
      </c>
      <c r="AE114">
        <v>0</v>
      </c>
      <c r="AF114">
        <v>0</v>
      </c>
      <c r="AG114">
        <v>0</v>
      </c>
      <c r="AH114">
        <v>0</v>
      </c>
      <c r="AI114">
        <v>0</v>
      </c>
      <c r="AJ114">
        <v>0</v>
      </c>
      <c r="AK114">
        <v>0</v>
      </c>
      <c r="AL114" s="19">
        <v>0</v>
      </c>
      <c r="AM114" s="22">
        <v>0</v>
      </c>
      <c r="AN114" s="22">
        <v>0</v>
      </c>
      <c r="AO114" s="22">
        <v>0</v>
      </c>
      <c r="AP114" s="22">
        <v>0</v>
      </c>
      <c r="AQ114" s="22">
        <v>0</v>
      </c>
      <c r="AR114" s="23">
        <v>0</v>
      </c>
      <c r="AS114" s="23">
        <v>0</v>
      </c>
      <c r="AT114" s="22">
        <v>0</v>
      </c>
      <c r="AU114" s="22">
        <v>0</v>
      </c>
      <c r="AV114" s="22">
        <v>0</v>
      </c>
      <c r="AW114" s="12">
        <v>0</v>
      </c>
      <c r="AX114" s="19">
        <v>0</v>
      </c>
      <c r="AY114" s="22">
        <v>0</v>
      </c>
      <c r="AZ114" s="22">
        <v>0</v>
      </c>
      <c r="BA114" s="22">
        <v>0</v>
      </c>
      <c r="BB114" s="22">
        <v>0</v>
      </c>
      <c r="BC114" s="22">
        <v>0</v>
      </c>
      <c r="BD114" s="22">
        <v>0</v>
      </c>
      <c r="BE114" s="22">
        <v>0</v>
      </c>
      <c r="BF114" s="22">
        <v>0</v>
      </c>
      <c r="BG114" s="22">
        <v>0</v>
      </c>
      <c r="BH114" s="22">
        <v>0</v>
      </c>
      <c r="BI114" s="12">
        <v>0</v>
      </c>
      <c r="BJ114">
        <v>0</v>
      </c>
      <c r="BK114">
        <v>0</v>
      </c>
      <c r="BL114">
        <v>0</v>
      </c>
      <c r="BM114">
        <v>0</v>
      </c>
      <c r="BN114">
        <v>0</v>
      </c>
      <c r="BO114">
        <v>0</v>
      </c>
      <c r="BP114">
        <v>0</v>
      </c>
      <c r="BQ114">
        <v>0</v>
      </c>
      <c r="BR114">
        <v>0</v>
      </c>
      <c r="BS114">
        <v>0</v>
      </c>
      <c r="BT114">
        <v>0</v>
      </c>
      <c r="BU114">
        <v>0</v>
      </c>
      <c r="BV114" s="19">
        <v>0</v>
      </c>
      <c r="BW114" s="22">
        <v>0</v>
      </c>
      <c r="BX114" s="22">
        <v>0</v>
      </c>
      <c r="BY114" s="22">
        <v>0</v>
      </c>
      <c r="BZ114" s="22">
        <v>0</v>
      </c>
      <c r="CA114" s="22">
        <v>0</v>
      </c>
      <c r="CB114" s="22">
        <v>0</v>
      </c>
      <c r="CC114" s="22">
        <v>0</v>
      </c>
      <c r="CD114" s="22">
        <v>0</v>
      </c>
      <c r="CE114" s="22">
        <v>0</v>
      </c>
      <c r="CF114" s="22">
        <v>0</v>
      </c>
      <c r="CG114" s="22">
        <v>1</v>
      </c>
      <c r="CH114" s="19">
        <v>0</v>
      </c>
      <c r="CI114" s="22">
        <v>0</v>
      </c>
      <c r="CJ114" s="22">
        <v>0</v>
      </c>
      <c r="CK114" s="22">
        <v>0</v>
      </c>
      <c r="CL114" s="22">
        <v>0</v>
      </c>
      <c r="CM114" s="22">
        <v>0</v>
      </c>
      <c r="CN114" s="22">
        <v>0</v>
      </c>
      <c r="CO114" s="22">
        <v>0</v>
      </c>
      <c r="CP114" s="22">
        <v>0</v>
      </c>
      <c r="CQ114" s="22">
        <v>0</v>
      </c>
      <c r="CR114" s="22">
        <v>0</v>
      </c>
      <c r="CS114" s="12">
        <v>0</v>
      </c>
      <c r="CT114" s="19">
        <v>0</v>
      </c>
      <c r="CU114" s="22">
        <v>0</v>
      </c>
      <c r="CV114" s="22">
        <v>0</v>
      </c>
      <c r="CW114" s="22">
        <v>0</v>
      </c>
      <c r="CX114" s="22">
        <v>0</v>
      </c>
      <c r="CY114" s="22">
        <v>0</v>
      </c>
      <c r="CZ114" s="22">
        <v>0</v>
      </c>
      <c r="DA114" s="22">
        <v>0</v>
      </c>
      <c r="DB114" s="22">
        <v>0</v>
      </c>
      <c r="DC114" s="22">
        <v>0</v>
      </c>
      <c r="DD114" s="22">
        <v>0</v>
      </c>
      <c r="DE114" s="12">
        <v>0</v>
      </c>
      <c r="DF114" s="19">
        <v>0</v>
      </c>
      <c r="DG114" s="22">
        <v>0</v>
      </c>
      <c r="DH114" s="22">
        <v>0</v>
      </c>
      <c r="DI114" s="22">
        <v>0</v>
      </c>
      <c r="DJ114" s="22">
        <v>0</v>
      </c>
      <c r="DK114" s="22">
        <v>0</v>
      </c>
      <c r="DL114" s="22">
        <v>0</v>
      </c>
      <c r="DM114" s="22">
        <v>0</v>
      </c>
      <c r="DN114" s="22">
        <v>0</v>
      </c>
      <c r="DO114" s="22">
        <v>0</v>
      </c>
      <c r="DP114" s="22">
        <v>0</v>
      </c>
      <c r="DQ114" s="12">
        <v>0</v>
      </c>
      <c r="DR114" s="19">
        <v>0</v>
      </c>
      <c r="DS114" s="22">
        <v>0</v>
      </c>
      <c r="DT114" s="22">
        <v>0</v>
      </c>
      <c r="DU114" s="22">
        <v>0</v>
      </c>
      <c r="DV114" s="22">
        <v>0</v>
      </c>
      <c r="DW114" s="22">
        <v>0</v>
      </c>
      <c r="DX114" s="22">
        <v>0</v>
      </c>
      <c r="DY114" s="22">
        <v>0</v>
      </c>
      <c r="DZ114" s="22">
        <v>0</v>
      </c>
      <c r="EA114" s="22">
        <v>0</v>
      </c>
      <c r="EB114" s="22">
        <v>0</v>
      </c>
      <c r="EC114" s="12">
        <v>0</v>
      </c>
      <c r="ED114" s="12">
        <f t="shared" si="260"/>
        <v>1</v>
      </c>
      <c r="EF114" s="6">
        <f t="shared" si="261"/>
        <v>0</v>
      </c>
      <c r="EG114" s="19">
        <f t="shared" si="262"/>
        <v>0</v>
      </c>
      <c r="EH114" s="22">
        <f t="shared" si="263"/>
        <v>0</v>
      </c>
      <c r="EI114" s="22">
        <f t="shared" si="264"/>
        <v>0</v>
      </c>
      <c r="EJ114" s="12">
        <f t="shared" si="265"/>
        <v>0</v>
      </c>
      <c r="EK114" s="22">
        <f t="shared" si="266"/>
        <v>0</v>
      </c>
      <c r="EL114" s="22">
        <f t="shared" si="267"/>
        <v>0</v>
      </c>
      <c r="EM114" s="22">
        <f t="shared" si="268"/>
        <v>0</v>
      </c>
      <c r="EN114" s="22">
        <f t="shared" si="269"/>
        <v>0</v>
      </c>
      <c r="EO114" s="19">
        <f t="shared" si="298"/>
        <v>0</v>
      </c>
      <c r="EP114" s="22">
        <f t="shared" si="299"/>
        <v>0</v>
      </c>
      <c r="EQ114" s="22">
        <f t="shared" si="300"/>
        <v>0</v>
      </c>
      <c r="ER114" s="12">
        <f t="shared" si="301"/>
        <v>0</v>
      </c>
      <c r="ES114" s="90">
        <f t="shared" si="270"/>
        <v>0</v>
      </c>
      <c r="ET114" s="94">
        <f t="shared" si="271"/>
        <v>0</v>
      </c>
      <c r="EU114" s="94">
        <f t="shared" si="302"/>
        <v>0</v>
      </c>
      <c r="EV114" s="28">
        <f t="shared" si="303"/>
        <v>0</v>
      </c>
      <c r="EW114" s="90">
        <f t="shared" si="272"/>
        <v>0</v>
      </c>
      <c r="EX114" s="94">
        <f t="shared" si="273"/>
        <v>0</v>
      </c>
      <c r="EY114" s="94">
        <f t="shared" si="274"/>
        <v>0</v>
      </c>
      <c r="EZ114" s="28">
        <f t="shared" si="275"/>
        <v>1</v>
      </c>
      <c r="FA114" s="90">
        <f t="shared" si="304"/>
        <v>0</v>
      </c>
      <c r="FB114" s="94">
        <f t="shared" si="305"/>
        <v>0</v>
      </c>
      <c r="FC114" s="94">
        <f t="shared" si="306"/>
        <v>0</v>
      </c>
      <c r="FD114" s="28">
        <f t="shared" si="307"/>
        <v>0</v>
      </c>
      <c r="FE114" s="90">
        <f t="shared" si="276"/>
        <v>0</v>
      </c>
      <c r="FF114" s="94">
        <f t="shared" si="277"/>
        <v>0</v>
      </c>
      <c r="FG114" s="94">
        <f t="shared" si="278"/>
        <v>0</v>
      </c>
      <c r="FH114" s="28">
        <f t="shared" si="279"/>
        <v>0</v>
      </c>
      <c r="FI114" s="90">
        <f t="shared" si="280"/>
        <v>0</v>
      </c>
      <c r="FJ114" s="94">
        <f t="shared" si="281"/>
        <v>0</v>
      </c>
      <c r="FK114" s="94">
        <f t="shared" si="282"/>
        <v>0</v>
      </c>
      <c r="FL114" s="28">
        <f t="shared" si="283"/>
        <v>0</v>
      </c>
      <c r="FM114" s="90">
        <f t="shared" si="284"/>
        <v>0</v>
      </c>
      <c r="FN114" s="94">
        <f t="shared" si="285"/>
        <v>0</v>
      </c>
      <c r="FO114" s="94">
        <f t="shared" si="286"/>
        <v>0</v>
      </c>
      <c r="FP114" s="28">
        <f t="shared" si="287"/>
        <v>0</v>
      </c>
      <c r="FR114" s="125">
        <f t="shared" si="288"/>
        <v>0</v>
      </c>
      <c r="FS114" s="156">
        <f t="shared" si="289"/>
        <v>0</v>
      </c>
      <c r="FT114" s="156">
        <f t="shared" si="290"/>
        <v>0</v>
      </c>
      <c r="FU114" s="156">
        <f t="shared" si="291"/>
        <v>0</v>
      </c>
      <c r="FV114" s="137">
        <f t="shared" si="292"/>
        <v>0</v>
      </c>
      <c r="FW114" s="137">
        <f t="shared" si="293"/>
        <v>1</v>
      </c>
      <c r="FX114" s="22">
        <f t="shared" si="294"/>
        <v>0</v>
      </c>
      <c r="FY114" s="22">
        <f t="shared" si="295"/>
        <v>0</v>
      </c>
      <c r="FZ114" s="94">
        <f t="shared" si="296"/>
        <v>0</v>
      </c>
      <c r="GA114" s="28">
        <f t="shared" si="297"/>
        <v>0</v>
      </c>
    </row>
    <row r="115" spans="1:183">
      <c r="A115" s="219" t="s">
        <v>897</v>
      </c>
      <c r="B115" s="76"/>
      <c r="C115">
        <v>0</v>
      </c>
      <c r="D115">
        <v>0</v>
      </c>
      <c r="E115">
        <v>0</v>
      </c>
      <c r="F115">
        <v>0</v>
      </c>
      <c r="G115">
        <v>0</v>
      </c>
      <c r="H115">
        <v>0</v>
      </c>
      <c r="I115">
        <v>0</v>
      </c>
      <c r="J115">
        <v>0</v>
      </c>
      <c r="K115">
        <v>0</v>
      </c>
      <c r="L115">
        <v>0</v>
      </c>
      <c r="M115">
        <v>0</v>
      </c>
      <c r="N115" s="19">
        <v>0</v>
      </c>
      <c r="O115" s="22">
        <v>0</v>
      </c>
      <c r="P115" s="22">
        <v>0</v>
      </c>
      <c r="Q115" s="22">
        <v>0</v>
      </c>
      <c r="R115" s="22">
        <v>0</v>
      </c>
      <c r="S115" s="22">
        <v>0</v>
      </c>
      <c r="T115" s="22">
        <v>0</v>
      </c>
      <c r="U115" s="22">
        <v>0</v>
      </c>
      <c r="V115" s="22">
        <v>0</v>
      </c>
      <c r="W115" s="22">
        <v>0</v>
      </c>
      <c r="X115" s="22">
        <v>0</v>
      </c>
      <c r="Y115" s="12">
        <v>0</v>
      </c>
      <c r="Z115">
        <v>0</v>
      </c>
      <c r="AA115">
        <v>0</v>
      </c>
      <c r="AB115">
        <v>0</v>
      </c>
      <c r="AC115">
        <v>0</v>
      </c>
      <c r="AD115">
        <v>0</v>
      </c>
      <c r="AE115">
        <v>0</v>
      </c>
      <c r="AF115">
        <v>0</v>
      </c>
      <c r="AG115">
        <v>0</v>
      </c>
      <c r="AH115">
        <v>0</v>
      </c>
      <c r="AI115">
        <v>0</v>
      </c>
      <c r="AJ115">
        <v>0</v>
      </c>
      <c r="AK115">
        <v>0</v>
      </c>
      <c r="AL115" s="19">
        <v>0</v>
      </c>
      <c r="AM115" s="22">
        <v>0</v>
      </c>
      <c r="AN115" s="22">
        <v>0</v>
      </c>
      <c r="AO115" s="22">
        <v>0</v>
      </c>
      <c r="AP115" s="22">
        <v>0</v>
      </c>
      <c r="AQ115" s="22">
        <v>0</v>
      </c>
      <c r="AR115" s="23">
        <v>0</v>
      </c>
      <c r="AS115" s="23">
        <v>0</v>
      </c>
      <c r="AT115" s="22">
        <v>0</v>
      </c>
      <c r="AU115" s="22">
        <v>0</v>
      </c>
      <c r="AV115" s="22">
        <v>0</v>
      </c>
      <c r="AW115" s="12">
        <v>0</v>
      </c>
      <c r="AX115" s="19">
        <v>0</v>
      </c>
      <c r="AY115" s="22">
        <v>0</v>
      </c>
      <c r="AZ115" s="22">
        <v>0</v>
      </c>
      <c r="BA115" s="22">
        <v>0</v>
      </c>
      <c r="BB115" s="22">
        <v>0</v>
      </c>
      <c r="BC115" s="22">
        <v>0</v>
      </c>
      <c r="BD115" s="22">
        <v>0</v>
      </c>
      <c r="BE115" s="22">
        <v>0</v>
      </c>
      <c r="BF115" s="22">
        <v>0</v>
      </c>
      <c r="BG115" s="22">
        <v>0</v>
      </c>
      <c r="BH115" s="22">
        <v>0</v>
      </c>
      <c r="BI115" s="12">
        <v>0</v>
      </c>
      <c r="BJ115">
        <v>0</v>
      </c>
      <c r="BK115">
        <v>0</v>
      </c>
      <c r="BL115">
        <v>0</v>
      </c>
      <c r="BM115">
        <v>0</v>
      </c>
      <c r="BN115">
        <v>0</v>
      </c>
      <c r="BO115">
        <v>0</v>
      </c>
      <c r="BP115">
        <v>0</v>
      </c>
      <c r="BQ115">
        <v>0</v>
      </c>
      <c r="BR115">
        <v>0</v>
      </c>
      <c r="BS115">
        <v>0</v>
      </c>
      <c r="BT115">
        <v>0</v>
      </c>
      <c r="BU115">
        <v>0</v>
      </c>
      <c r="BV115" s="19">
        <v>0</v>
      </c>
      <c r="BW115" s="22">
        <v>0</v>
      </c>
      <c r="BX115" s="22">
        <v>0</v>
      </c>
      <c r="BY115" s="22">
        <v>0</v>
      </c>
      <c r="BZ115" s="22">
        <v>0</v>
      </c>
      <c r="CA115" s="22">
        <v>0</v>
      </c>
      <c r="CB115" s="22">
        <v>0</v>
      </c>
      <c r="CC115" s="22">
        <v>0</v>
      </c>
      <c r="CD115" s="22">
        <v>0</v>
      </c>
      <c r="CE115" s="22">
        <v>0</v>
      </c>
      <c r="CF115" s="22">
        <v>0</v>
      </c>
      <c r="CG115" s="22">
        <v>0</v>
      </c>
      <c r="CH115" s="19">
        <v>0</v>
      </c>
      <c r="CI115" s="22">
        <v>0</v>
      </c>
      <c r="CJ115" s="22">
        <v>0</v>
      </c>
      <c r="CK115" s="22">
        <v>0</v>
      </c>
      <c r="CL115" s="22">
        <v>0</v>
      </c>
      <c r="CM115" s="22">
        <v>0</v>
      </c>
      <c r="CN115" s="22">
        <v>0</v>
      </c>
      <c r="CO115" s="22">
        <v>0</v>
      </c>
      <c r="CP115" s="22">
        <v>0</v>
      </c>
      <c r="CQ115" s="22">
        <v>0</v>
      </c>
      <c r="CR115" s="22">
        <v>0</v>
      </c>
      <c r="CS115" s="12">
        <v>0</v>
      </c>
      <c r="CT115" s="19">
        <v>0</v>
      </c>
      <c r="CU115" s="22">
        <v>0</v>
      </c>
      <c r="CV115" s="22">
        <v>0</v>
      </c>
      <c r="CW115" s="22">
        <v>0</v>
      </c>
      <c r="CX115" s="22">
        <v>0</v>
      </c>
      <c r="CY115" s="22">
        <v>0</v>
      </c>
      <c r="CZ115" s="22">
        <v>0</v>
      </c>
      <c r="DA115" s="22">
        <v>0</v>
      </c>
      <c r="DB115" s="22">
        <v>0</v>
      </c>
      <c r="DC115" s="22">
        <v>0</v>
      </c>
      <c r="DD115" s="22">
        <v>0</v>
      </c>
      <c r="DE115" s="12">
        <v>0</v>
      </c>
      <c r="DF115" s="19">
        <v>0</v>
      </c>
      <c r="DG115" s="22">
        <v>0</v>
      </c>
      <c r="DH115" s="22">
        <v>0</v>
      </c>
      <c r="DI115" s="22">
        <v>0</v>
      </c>
      <c r="DJ115" s="22">
        <v>0</v>
      </c>
      <c r="DK115" s="22">
        <v>0</v>
      </c>
      <c r="DL115" s="22">
        <v>0</v>
      </c>
      <c r="DM115" s="22">
        <v>0</v>
      </c>
      <c r="DN115" s="22">
        <v>0</v>
      </c>
      <c r="DO115" s="22">
        <v>0</v>
      </c>
      <c r="DP115" s="22">
        <v>0</v>
      </c>
      <c r="DQ115" s="12">
        <v>0</v>
      </c>
      <c r="DR115" s="19">
        <v>0</v>
      </c>
      <c r="DS115" s="22">
        <v>0</v>
      </c>
      <c r="DT115" s="22">
        <v>0</v>
      </c>
      <c r="DU115" s="22">
        <v>0</v>
      </c>
      <c r="DV115" s="22">
        <v>0</v>
      </c>
      <c r="DW115" s="22">
        <v>0</v>
      </c>
      <c r="DX115" s="22">
        <v>0</v>
      </c>
      <c r="DY115" s="22">
        <v>0</v>
      </c>
      <c r="DZ115" s="22">
        <v>0</v>
      </c>
      <c r="EA115" s="22">
        <v>0</v>
      </c>
      <c r="EB115" s="22">
        <v>0</v>
      </c>
      <c r="EC115" s="12">
        <v>0</v>
      </c>
      <c r="ED115" s="12">
        <f t="shared" si="260"/>
        <v>0</v>
      </c>
      <c r="EF115" s="6">
        <f t="shared" si="261"/>
        <v>0</v>
      </c>
      <c r="EG115" s="19">
        <f t="shared" si="262"/>
        <v>0</v>
      </c>
      <c r="EH115" s="22">
        <f t="shared" si="263"/>
        <v>0</v>
      </c>
      <c r="EI115" s="22">
        <f t="shared" si="264"/>
        <v>0</v>
      </c>
      <c r="EJ115" s="12">
        <f t="shared" si="265"/>
        <v>0</v>
      </c>
      <c r="EK115" s="22">
        <f t="shared" si="266"/>
        <v>0</v>
      </c>
      <c r="EL115" s="22">
        <f t="shared" si="267"/>
        <v>0</v>
      </c>
      <c r="EM115" s="22">
        <f t="shared" si="268"/>
        <v>0</v>
      </c>
      <c r="EN115" s="22">
        <f t="shared" si="269"/>
        <v>0</v>
      </c>
      <c r="EO115" s="19">
        <f t="shared" si="298"/>
        <v>0</v>
      </c>
      <c r="EP115" s="22">
        <f t="shared" si="299"/>
        <v>0</v>
      </c>
      <c r="EQ115" s="22">
        <f t="shared" si="300"/>
        <v>0</v>
      </c>
      <c r="ER115" s="12">
        <f t="shared" si="301"/>
        <v>0</v>
      </c>
      <c r="ES115" s="90">
        <f t="shared" si="270"/>
        <v>0</v>
      </c>
      <c r="ET115" s="94">
        <f t="shared" si="271"/>
        <v>0</v>
      </c>
      <c r="EU115" s="94">
        <f t="shared" si="302"/>
        <v>0</v>
      </c>
      <c r="EV115" s="28">
        <f t="shared" si="303"/>
        <v>0</v>
      </c>
      <c r="EW115" s="90">
        <f t="shared" si="272"/>
        <v>0</v>
      </c>
      <c r="EX115" s="94">
        <f t="shared" si="273"/>
        <v>0</v>
      </c>
      <c r="EY115" s="94">
        <f t="shared" si="274"/>
        <v>0</v>
      </c>
      <c r="EZ115" s="28">
        <f t="shared" si="275"/>
        <v>0</v>
      </c>
      <c r="FA115" s="90">
        <f t="shared" si="304"/>
        <v>0</v>
      </c>
      <c r="FB115" s="94">
        <f t="shared" si="305"/>
        <v>0</v>
      </c>
      <c r="FC115" s="94">
        <f t="shared" si="306"/>
        <v>0</v>
      </c>
      <c r="FD115" s="28">
        <f t="shared" si="307"/>
        <v>0</v>
      </c>
      <c r="FE115" s="90">
        <f t="shared" si="276"/>
        <v>0</v>
      </c>
      <c r="FF115" s="94">
        <f t="shared" si="277"/>
        <v>0</v>
      </c>
      <c r="FG115" s="94">
        <f t="shared" si="278"/>
        <v>0</v>
      </c>
      <c r="FH115" s="28">
        <f t="shared" si="279"/>
        <v>0</v>
      </c>
      <c r="FI115" s="90">
        <f t="shared" si="280"/>
        <v>0</v>
      </c>
      <c r="FJ115" s="94">
        <f t="shared" si="281"/>
        <v>0</v>
      </c>
      <c r="FK115" s="94">
        <f t="shared" si="282"/>
        <v>0</v>
      </c>
      <c r="FL115" s="28">
        <f t="shared" si="283"/>
        <v>0</v>
      </c>
      <c r="FM115" s="90">
        <f t="shared" si="284"/>
        <v>0</v>
      </c>
      <c r="FN115" s="94">
        <f t="shared" si="285"/>
        <v>0</v>
      </c>
      <c r="FO115" s="94">
        <f t="shared" si="286"/>
        <v>0</v>
      </c>
      <c r="FP115" s="28">
        <f t="shared" si="287"/>
        <v>0</v>
      </c>
      <c r="FR115" s="125">
        <f t="shared" si="288"/>
        <v>0</v>
      </c>
      <c r="FS115" s="156">
        <f t="shared" si="289"/>
        <v>0</v>
      </c>
      <c r="FT115" s="156">
        <f t="shared" si="290"/>
        <v>0</v>
      </c>
      <c r="FU115" s="156">
        <f t="shared" si="291"/>
        <v>0</v>
      </c>
      <c r="FV115" s="137">
        <f t="shared" si="292"/>
        <v>0</v>
      </c>
      <c r="FW115" s="137">
        <f t="shared" si="293"/>
        <v>0</v>
      </c>
      <c r="FX115" s="22">
        <f t="shared" si="294"/>
        <v>0</v>
      </c>
      <c r="FY115" s="22">
        <f t="shared" si="295"/>
        <v>0</v>
      </c>
      <c r="FZ115" s="94">
        <f t="shared" si="296"/>
        <v>0</v>
      </c>
      <c r="GA115" s="28">
        <f t="shared" si="297"/>
        <v>0</v>
      </c>
    </row>
    <row r="116" spans="1:183">
      <c r="A116" s="219" t="s">
        <v>1483</v>
      </c>
      <c r="B116" s="76"/>
      <c r="C116">
        <v>0</v>
      </c>
      <c r="D116">
        <v>0</v>
      </c>
      <c r="E116">
        <v>0</v>
      </c>
      <c r="F116">
        <v>0</v>
      </c>
      <c r="G116">
        <v>0</v>
      </c>
      <c r="H116">
        <v>0</v>
      </c>
      <c r="I116">
        <v>0</v>
      </c>
      <c r="J116">
        <v>0</v>
      </c>
      <c r="K116">
        <v>0</v>
      </c>
      <c r="L116">
        <v>0</v>
      </c>
      <c r="M116">
        <v>0</v>
      </c>
      <c r="N116" s="19">
        <v>0</v>
      </c>
      <c r="O116" s="22">
        <v>0</v>
      </c>
      <c r="P116" s="22">
        <v>0</v>
      </c>
      <c r="Q116" s="22">
        <v>0</v>
      </c>
      <c r="R116" s="22">
        <v>0</v>
      </c>
      <c r="S116" s="22">
        <v>0</v>
      </c>
      <c r="T116" s="22">
        <v>0</v>
      </c>
      <c r="U116" s="22">
        <v>0</v>
      </c>
      <c r="V116" s="22">
        <v>0</v>
      </c>
      <c r="W116" s="22">
        <v>0</v>
      </c>
      <c r="X116" s="22">
        <v>0</v>
      </c>
      <c r="Y116" s="12">
        <v>0</v>
      </c>
      <c r="Z116">
        <v>0</v>
      </c>
      <c r="AA116">
        <v>0</v>
      </c>
      <c r="AB116">
        <v>0</v>
      </c>
      <c r="AC116">
        <v>0</v>
      </c>
      <c r="AD116">
        <v>0</v>
      </c>
      <c r="AE116">
        <v>0</v>
      </c>
      <c r="AF116">
        <v>0</v>
      </c>
      <c r="AG116">
        <v>0</v>
      </c>
      <c r="AH116">
        <v>0</v>
      </c>
      <c r="AI116">
        <v>0</v>
      </c>
      <c r="AJ116">
        <v>0</v>
      </c>
      <c r="AK116">
        <v>0</v>
      </c>
      <c r="AL116" s="19">
        <v>0</v>
      </c>
      <c r="AM116" s="22">
        <v>0</v>
      </c>
      <c r="AN116" s="22">
        <v>0</v>
      </c>
      <c r="AO116" s="22">
        <v>0</v>
      </c>
      <c r="AP116" s="22">
        <v>0</v>
      </c>
      <c r="AQ116" s="22">
        <v>0</v>
      </c>
      <c r="AR116" s="23">
        <v>0</v>
      </c>
      <c r="AS116" s="23">
        <v>0</v>
      </c>
      <c r="AT116" s="22">
        <v>0</v>
      </c>
      <c r="AU116" s="22">
        <v>0</v>
      </c>
      <c r="AV116" s="22">
        <v>0</v>
      </c>
      <c r="AW116" s="12">
        <v>0</v>
      </c>
      <c r="AX116" s="19">
        <v>0</v>
      </c>
      <c r="AY116" s="22">
        <v>0</v>
      </c>
      <c r="AZ116" s="22">
        <v>0</v>
      </c>
      <c r="BA116" s="22">
        <v>0</v>
      </c>
      <c r="BB116" s="22">
        <v>0</v>
      </c>
      <c r="BC116" s="22">
        <v>0</v>
      </c>
      <c r="BD116" s="22">
        <v>0</v>
      </c>
      <c r="BE116" s="22">
        <v>0</v>
      </c>
      <c r="BF116" s="22">
        <v>0</v>
      </c>
      <c r="BG116" s="22">
        <v>0</v>
      </c>
      <c r="BH116" s="22">
        <v>0</v>
      </c>
      <c r="BI116" s="12">
        <v>0</v>
      </c>
      <c r="BJ116">
        <v>0</v>
      </c>
      <c r="BK116">
        <v>0</v>
      </c>
      <c r="BL116">
        <v>0</v>
      </c>
      <c r="BM116">
        <v>0</v>
      </c>
      <c r="BN116">
        <v>0</v>
      </c>
      <c r="BO116">
        <v>0</v>
      </c>
      <c r="BP116">
        <v>0</v>
      </c>
      <c r="BQ116">
        <v>0</v>
      </c>
      <c r="BR116">
        <v>0</v>
      </c>
      <c r="BS116">
        <v>0</v>
      </c>
      <c r="BT116">
        <v>0</v>
      </c>
      <c r="BU116">
        <v>0</v>
      </c>
      <c r="BV116" s="19">
        <v>0</v>
      </c>
      <c r="BW116" s="22">
        <v>0</v>
      </c>
      <c r="BX116" s="22">
        <v>0</v>
      </c>
      <c r="BY116" s="22">
        <v>0</v>
      </c>
      <c r="BZ116" s="22">
        <v>0</v>
      </c>
      <c r="CA116" s="22">
        <v>0</v>
      </c>
      <c r="CB116" s="22">
        <v>0</v>
      </c>
      <c r="CC116" s="22">
        <v>0</v>
      </c>
      <c r="CD116" s="22">
        <v>0</v>
      </c>
      <c r="CE116" s="22">
        <v>0</v>
      </c>
      <c r="CF116" s="22">
        <v>2</v>
      </c>
      <c r="CG116" s="22">
        <v>0</v>
      </c>
      <c r="CH116" s="19">
        <v>0</v>
      </c>
      <c r="CI116" s="22">
        <v>0</v>
      </c>
      <c r="CJ116" s="22">
        <v>0</v>
      </c>
      <c r="CK116" s="22">
        <v>0</v>
      </c>
      <c r="CL116" s="22">
        <v>0</v>
      </c>
      <c r="CM116" s="22">
        <v>0</v>
      </c>
      <c r="CN116" s="22">
        <v>0</v>
      </c>
      <c r="CO116" s="22">
        <v>1</v>
      </c>
      <c r="CP116" s="22">
        <v>0</v>
      </c>
      <c r="CQ116" s="22">
        <v>1</v>
      </c>
      <c r="CR116" s="22">
        <v>0</v>
      </c>
      <c r="CS116" s="12">
        <v>0</v>
      </c>
      <c r="CT116" s="19">
        <v>0</v>
      </c>
      <c r="CU116" s="22">
        <v>0</v>
      </c>
      <c r="CV116" s="22">
        <v>0</v>
      </c>
      <c r="CW116" s="22">
        <v>0</v>
      </c>
      <c r="CX116" s="22">
        <v>0</v>
      </c>
      <c r="CY116" s="22">
        <v>0</v>
      </c>
      <c r="CZ116" s="22">
        <v>0</v>
      </c>
      <c r="DA116" s="22">
        <v>0</v>
      </c>
      <c r="DB116" s="22">
        <v>0</v>
      </c>
      <c r="DC116" s="22">
        <v>0</v>
      </c>
      <c r="DD116" s="22">
        <v>0</v>
      </c>
      <c r="DE116" s="12">
        <v>0</v>
      </c>
      <c r="DF116" s="19">
        <v>0</v>
      </c>
      <c r="DG116" s="22">
        <v>0</v>
      </c>
      <c r="DH116" s="22">
        <v>0</v>
      </c>
      <c r="DI116" s="22">
        <v>0</v>
      </c>
      <c r="DJ116" s="22">
        <v>0</v>
      </c>
      <c r="DK116" s="22">
        <v>0</v>
      </c>
      <c r="DL116" s="22">
        <v>0</v>
      </c>
      <c r="DM116" s="22">
        <v>0</v>
      </c>
      <c r="DN116" s="22">
        <v>0</v>
      </c>
      <c r="DO116" s="22">
        <v>0</v>
      </c>
      <c r="DP116" s="22">
        <v>0</v>
      </c>
      <c r="DQ116" s="12">
        <v>0</v>
      </c>
      <c r="DR116" s="19">
        <v>0</v>
      </c>
      <c r="DS116" s="22">
        <v>0</v>
      </c>
      <c r="DT116" s="22">
        <v>0</v>
      </c>
      <c r="DU116" s="22">
        <v>0</v>
      </c>
      <c r="DV116" s="22">
        <v>0</v>
      </c>
      <c r="DW116" s="22">
        <v>0</v>
      </c>
      <c r="DX116" s="22">
        <v>0</v>
      </c>
      <c r="DY116" s="22">
        <v>0</v>
      </c>
      <c r="DZ116" s="22">
        <v>0</v>
      </c>
      <c r="EA116" s="22">
        <v>0</v>
      </c>
      <c r="EB116" s="22">
        <v>0</v>
      </c>
      <c r="EC116" s="12">
        <v>0</v>
      </c>
      <c r="ED116" s="12">
        <f t="shared" si="260"/>
        <v>4</v>
      </c>
      <c r="EF116" s="6">
        <f t="shared" si="261"/>
        <v>0</v>
      </c>
      <c r="EG116" s="19">
        <f t="shared" si="262"/>
        <v>0</v>
      </c>
      <c r="EH116" s="22">
        <f t="shared" si="263"/>
        <v>0</v>
      </c>
      <c r="EI116" s="22">
        <f t="shared" si="264"/>
        <v>0</v>
      </c>
      <c r="EJ116" s="12">
        <f t="shared" si="265"/>
        <v>0</v>
      </c>
      <c r="EK116" s="22">
        <f t="shared" si="266"/>
        <v>0</v>
      </c>
      <c r="EL116" s="22">
        <f t="shared" si="267"/>
        <v>0</v>
      </c>
      <c r="EM116" s="22">
        <f t="shared" si="268"/>
        <v>0</v>
      </c>
      <c r="EN116" s="22">
        <f t="shared" si="269"/>
        <v>0</v>
      </c>
      <c r="EO116" s="19">
        <f t="shared" si="298"/>
        <v>0</v>
      </c>
      <c r="EP116" s="22">
        <f t="shared" si="299"/>
        <v>0</v>
      </c>
      <c r="EQ116" s="22">
        <f t="shared" si="300"/>
        <v>0</v>
      </c>
      <c r="ER116" s="12">
        <f t="shared" si="301"/>
        <v>0</v>
      </c>
      <c r="ES116" s="90">
        <f t="shared" si="270"/>
        <v>0</v>
      </c>
      <c r="ET116" s="94">
        <f t="shared" si="271"/>
        <v>0</v>
      </c>
      <c r="EU116" s="94">
        <f t="shared" si="302"/>
        <v>0</v>
      </c>
      <c r="EV116" s="28">
        <f t="shared" si="303"/>
        <v>0</v>
      </c>
      <c r="EW116" s="90">
        <f t="shared" si="272"/>
        <v>0</v>
      </c>
      <c r="EX116" s="94">
        <f t="shared" si="273"/>
        <v>0</v>
      </c>
      <c r="EY116" s="94">
        <f t="shared" si="274"/>
        <v>0</v>
      </c>
      <c r="EZ116" s="28">
        <f t="shared" si="275"/>
        <v>2</v>
      </c>
      <c r="FA116" s="90">
        <f t="shared" si="304"/>
        <v>0</v>
      </c>
      <c r="FB116" s="94">
        <f t="shared" si="305"/>
        <v>0</v>
      </c>
      <c r="FC116" s="94">
        <f t="shared" si="306"/>
        <v>1</v>
      </c>
      <c r="FD116" s="28">
        <f t="shared" si="307"/>
        <v>1</v>
      </c>
      <c r="FE116" s="90">
        <f t="shared" si="276"/>
        <v>0</v>
      </c>
      <c r="FF116" s="94">
        <f t="shared" si="277"/>
        <v>0</v>
      </c>
      <c r="FG116" s="94">
        <f t="shared" si="278"/>
        <v>0</v>
      </c>
      <c r="FH116" s="28">
        <f t="shared" si="279"/>
        <v>0</v>
      </c>
      <c r="FI116" s="90">
        <f t="shared" si="280"/>
        <v>0</v>
      </c>
      <c r="FJ116" s="94">
        <f t="shared" si="281"/>
        <v>0</v>
      </c>
      <c r="FK116" s="94">
        <f t="shared" si="282"/>
        <v>0</v>
      </c>
      <c r="FL116" s="28">
        <f t="shared" si="283"/>
        <v>0</v>
      </c>
      <c r="FM116" s="90">
        <f t="shared" si="284"/>
        <v>0</v>
      </c>
      <c r="FN116" s="94">
        <f t="shared" si="285"/>
        <v>0</v>
      </c>
      <c r="FO116" s="94">
        <f t="shared" si="286"/>
        <v>0</v>
      </c>
      <c r="FP116" s="28">
        <f t="shared" si="287"/>
        <v>0</v>
      </c>
      <c r="FR116" s="125">
        <f t="shared" si="288"/>
        <v>0</v>
      </c>
      <c r="FS116" s="156">
        <f t="shared" si="289"/>
        <v>0</v>
      </c>
      <c r="FT116" s="458" t="s">
        <v>1127</v>
      </c>
      <c r="FU116" s="156">
        <f t="shared" si="291"/>
        <v>0</v>
      </c>
      <c r="FV116" s="137">
        <f t="shared" si="292"/>
        <v>0</v>
      </c>
      <c r="FW116" s="137">
        <f t="shared" si="293"/>
        <v>2</v>
      </c>
      <c r="FX116" s="22">
        <f t="shared" si="294"/>
        <v>2</v>
      </c>
      <c r="FY116" s="22">
        <f t="shared" si="295"/>
        <v>0</v>
      </c>
      <c r="FZ116" s="94">
        <f t="shared" si="296"/>
        <v>0</v>
      </c>
      <c r="GA116" s="28">
        <f t="shared" si="297"/>
        <v>0</v>
      </c>
    </row>
    <row r="117" spans="1:183">
      <c r="A117" s="219" t="s">
        <v>970</v>
      </c>
      <c r="B117" s="76"/>
      <c r="C117">
        <v>0</v>
      </c>
      <c r="D117">
        <v>0</v>
      </c>
      <c r="E117">
        <v>0</v>
      </c>
      <c r="F117">
        <v>0</v>
      </c>
      <c r="G117">
        <v>0</v>
      </c>
      <c r="H117">
        <v>0</v>
      </c>
      <c r="I117">
        <v>0</v>
      </c>
      <c r="J117">
        <v>0</v>
      </c>
      <c r="K117">
        <v>0</v>
      </c>
      <c r="L117">
        <v>0</v>
      </c>
      <c r="M117">
        <v>0</v>
      </c>
      <c r="N117" s="19">
        <v>0</v>
      </c>
      <c r="O117" s="22">
        <v>0</v>
      </c>
      <c r="P117" s="22">
        <v>0</v>
      </c>
      <c r="Q117" s="22">
        <v>0</v>
      </c>
      <c r="R117" s="22">
        <v>0</v>
      </c>
      <c r="S117" s="22">
        <v>0</v>
      </c>
      <c r="T117" s="22">
        <v>0</v>
      </c>
      <c r="U117" s="22">
        <v>0</v>
      </c>
      <c r="V117" s="22">
        <v>0</v>
      </c>
      <c r="W117" s="22">
        <v>0</v>
      </c>
      <c r="X117" s="22">
        <v>4</v>
      </c>
      <c r="Y117" s="12">
        <v>0</v>
      </c>
      <c r="Z117">
        <v>4</v>
      </c>
      <c r="AA117">
        <v>0</v>
      </c>
      <c r="AB117">
        <v>2</v>
      </c>
      <c r="AC117">
        <v>0</v>
      </c>
      <c r="AD117">
        <v>1</v>
      </c>
      <c r="AE117">
        <v>0</v>
      </c>
      <c r="AF117">
        <v>0</v>
      </c>
      <c r="AG117">
        <v>0</v>
      </c>
      <c r="AH117">
        <v>0</v>
      </c>
      <c r="AI117">
        <v>0</v>
      </c>
      <c r="AJ117">
        <v>0</v>
      </c>
      <c r="AK117">
        <v>0</v>
      </c>
      <c r="AL117" s="19">
        <v>0</v>
      </c>
      <c r="AM117" s="22">
        <v>0</v>
      </c>
      <c r="AN117" s="22">
        <v>0</v>
      </c>
      <c r="AO117" s="22">
        <v>0</v>
      </c>
      <c r="AP117" s="22">
        <v>1</v>
      </c>
      <c r="AQ117" s="22">
        <v>2</v>
      </c>
      <c r="AR117" s="23">
        <v>2</v>
      </c>
      <c r="AS117" s="23">
        <v>0</v>
      </c>
      <c r="AT117" s="22">
        <v>0</v>
      </c>
      <c r="AU117" s="22">
        <v>2</v>
      </c>
      <c r="AV117" s="22">
        <v>0</v>
      </c>
      <c r="AW117" s="12">
        <v>0</v>
      </c>
      <c r="AX117" s="19">
        <v>0</v>
      </c>
      <c r="AY117" s="22">
        <v>0</v>
      </c>
      <c r="AZ117" s="22">
        <v>2</v>
      </c>
      <c r="BA117" s="22">
        <v>1</v>
      </c>
      <c r="BB117" s="22">
        <v>0</v>
      </c>
      <c r="BC117" s="22">
        <v>0</v>
      </c>
      <c r="BD117" s="22">
        <v>0</v>
      </c>
      <c r="BE117" s="22">
        <v>1</v>
      </c>
      <c r="BF117" s="22">
        <v>3</v>
      </c>
      <c r="BG117" s="22">
        <v>0</v>
      </c>
      <c r="BH117" s="22">
        <v>1</v>
      </c>
      <c r="BI117" s="12">
        <v>1</v>
      </c>
      <c r="BJ117">
        <v>1</v>
      </c>
      <c r="BK117">
        <v>0</v>
      </c>
      <c r="BL117">
        <v>0</v>
      </c>
      <c r="BM117">
        <v>0</v>
      </c>
      <c r="BN117">
        <v>0</v>
      </c>
      <c r="BO117">
        <v>1</v>
      </c>
      <c r="BP117">
        <v>0</v>
      </c>
      <c r="BQ117">
        <v>1</v>
      </c>
      <c r="BR117">
        <v>0</v>
      </c>
      <c r="BS117">
        <v>2</v>
      </c>
      <c r="BT117">
        <v>0</v>
      </c>
      <c r="BU117">
        <v>0</v>
      </c>
      <c r="BV117" s="20">
        <v>2</v>
      </c>
      <c r="BW117" s="24">
        <v>0</v>
      </c>
      <c r="BX117" s="24">
        <v>2</v>
      </c>
      <c r="BY117" s="24">
        <v>0</v>
      </c>
      <c r="BZ117" s="24">
        <v>0</v>
      </c>
      <c r="CA117" s="24">
        <v>0</v>
      </c>
      <c r="CB117" s="24">
        <v>1</v>
      </c>
      <c r="CC117" s="24">
        <v>0</v>
      </c>
      <c r="CD117" s="24">
        <v>0</v>
      </c>
      <c r="CE117" s="24">
        <v>1</v>
      </c>
      <c r="CF117" s="24">
        <v>1</v>
      </c>
      <c r="CG117" s="24">
        <v>1</v>
      </c>
      <c r="CH117" s="19">
        <v>0</v>
      </c>
      <c r="CI117" s="22">
        <v>0</v>
      </c>
      <c r="CJ117" s="22">
        <v>0</v>
      </c>
      <c r="CK117" s="22">
        <v>0</v>
      </c>
      <c r="CL117" s="22">
        <v>1</v>
      </c>
      <c r="CM117" s="22">
        <v>0</v>
      </c>
      <c r="CN117" s="22">
        <v>0</v>
      </c>
      <c r="CO117" s="22">
        <v>0</v>
      </c>
      <c r="CP117" s="22">
        <v>0</v>
      </c>
      <c r="CQ117" s="22">
        <v>1</v>
      </c>
      <c r="CR117" s="22">
        <v>0</v>
      </c>
      <c r="CS117" s="12">
        <v>1</v>
      </c>
      <c r="CT117" s="19">
        <v>8</v>
      </c>
      <c r="CU117" s="22">
        <v>0</v>
      </c>
      <c r="CV117" s="22">
        <v>0</v>
      </c>
      <c r="CW117" s="22">
        <v>0</v>
      </c>
      <c r="CX117" s="22">
        <v>0</v>
      </c>
      <c r="CY117" s="22">
        <v>0</v>
      </c>
      <c r="CZ117" s="22">
        <v>0</v>
      </c>
      <c r="DA117" s="22">
        <v>0</v>
      </c>
      <c r="DB117" s="22">
        <v>0</v>
      </c>
      <c r="DC117" s="22">
        <v>0</v>
      </c>
      <c r="DD117" s="22">
        <v>0</v>
      </c>
      <c r="DE117" s="12">
        <v>0</v>
      </c>
      <c r="DF117" s="19">
        <v>0</v>
      </c>
      <c r="DG117" s="22">
        <v>0</v>
      </c>
      <c r="DH117" s="22">
        <v>0</v>
      </c>
      <c r="DI117" s="22">
        <v>0</v>
      </c>
      <c r="DJ117" s="22">
        <v>0</v>
      </c>
      <c r="DK117" s="22">
        <v>0</v>
      </c>
      <c r="DL117" s="22">
        <v>0</v>
      </c>
      <c r="DM117" s="22">
        <v>0</v>
      </c>
      <c r="DN117" s="22">
        <v>0</v>
      </c>
      <c r="DO117" s="22">
        <v>0</v>
      </c>
      <c r="DP117" s="22">
        <v>0</v>
      </c>
      <c r="DQ117" s="12">
        <v>0</v>
      </c>
      <c r="DR117" s="19">
        <v>0</v>
      </c>
      <c r="DS117" s="22">
        <v>0</v>
      </c>
      <c r="DT117" s="22">
        <v>0</v>
      </c>
      <c r="DU117" s="22">
        <v>0</v>
      </c>
      <c r="DV117" s="22">
        <v>0</v>
      </c>
      <c r="DW117" s="22">
        <v>0</v>
      </c>
      <c r="DX117" s="22">
        <v>0</v>
      </c>
      <c r="DY117" s="22">
        <v>0</v>
      </c>
      <c r="DZ117" s="22">
        <v>0</v>
      </c>
      <c r="EA117" s="22">
        <v>0</v>
      </c>
      <c r="EB117" s="22">
        <v>0</v>
      </c>
      <c r="EC117" s="12">
        <v>0</v>
      </c>
      <c r="ED117" s="12">
        <f t="shared" si="260"/>
        <v>51</v>
      </c>
      <c r="EF117" s="6">
        <f t="shared" si="261"/>
        <v>4</v>
      </c>
      <c r="EG117" s="19">
        <f t="shared" si="262"/>
        <v>6</v>
      </c>
      <c r="EH117" s="22">
        <f t="shared" si="263"/>
        <v>1</v>
      </c>
      <c r="EI117" s="22">
        <f t="shared" si="264"/>
        <v>0</v>
      </c>
      <c r="EJ117" s="12">
        <f t="shared" si="265"/>
        <v>0</v>
      </c>
      <c r="EK117" s="22">
        <f t="shared" si="266"/>
        <v>0</v>
      </c>
      <c r="EL117" s="22">
        <f t="shared" si="267"/>
        <v>3</v>
      </c>
      <c r="EM117" s="22">
        <f t="shared" si="268"/>
        <v>2</v>
      </c>
      <c r="EN117" s="22">
        <f t="shared" si="269"/>
        <v>2</v>
      </c>
      <c r="EO117" s="20">
        <f t="shared" si="298"/>
        <v>2</v>
      </c>
      <c r="EP117" s="24">
        <f t="shared" si="299"/>
        <v>1</v>
      </c>
      <c r="EQ117" s="24">
        <f t="shared" si="300"/>
        <v>4</v>
      </c>
      <c r="ER117" s="13">
        <f t="shared" si="301"/>
        <v>2</v>
      </c>
      <c r="ES117" s="90">
        <f t="shared" si="270"/>
        <v>1</v>
      </c>
      <c r="ET117" s="94">
        <f t="shared" si="271"/>
        <v>1</v>
      </c>
      <c r="EU117" s="94">
        <f t="shared" si="302"/>
        <v>1</v>
      </c>
      <c r="EV117" s="28">
        <f t="shared" si="303"/>
        <v>2</v>
      </c>
      <c r="EW117" s="90">
        <f t="shared" si="272"/>
        <v>4</v>
      </c>
      <c r="EX117" s="94">
        <f t="shared" si="273"/>
        <v>0</v>
      </c>
      <c r="EY117" s="94">
        <f t="shared" si="274"/>
        <v>1</v>
      </c>
      <c r="EZ117" s="28">
        <f t="shared" si="275"/>
        <v>3</v>
      </c>
      <c r="FA117" s="47">
        <f t="shared" si="304"/>
        <v>0</v>
      </c>
      <c r="FB117" s="95">
        <f t="shared" si="305"/>
        <v>1</v>
      </c>
      <c r="FC117" s="95">
        <f t="shared" si="306"/>
        <v>0</v>
      </c>
      <c r="FD117" s="29">
        <f t="shared" si="307"/>
        <v>2</v>
      </c>
      <c r="FE117" s="47">
        <f t="shared" si="276"/>
        <v>8</v>
      </c>
      <c r="FF117" s="95">
        <f t="shared" si="277"/>
        <v>0</v>
      </c>
      <c r="FG117" s="95">
        <f t="shared" si="278"/>
        <v>0</v>
      </c>
      <c r="FH117" s="29">
        <f t="shared" si="279"/>
        <v>0</v>
      </c>
      <c r="FI117" s="47">
        <f t="shared" si="280"/>
        <v>0</v>
      </c>
      <c r="FJ117" s="95">
        <f t="shared" si="281"/>
        <v>0</v>
      </c>
      <c r="FK117" s="95">
        <f t="shared" si="282"/>
        <v>0</v>
      </c>
      <c r="FL117" s="29">
        <f t="shared" si="283"/>
        <v>0</v>
      </c>
      <c r="FM117" s="47">
        <f t="shared" si="284"/>
        <v>0</v>
      </c>
      <c r="FN117" s="95">
        <f t="shared" si="285"/>
        <v>0</v>
      </c>
      <c r="FO117" s="95">
        <f t="shared" si="286"/>
        <v>0</v>
      </c>
      <c r="FP117" s="29">
        <f t="shared" si="287"/>
        <v>0</v>
      </c>
      <c r="FR117" s="128">
        <f t="shared" si="288"/>
        <v>4</v>
      </c>
      <c r="FS117" s="1103">
        <f t="shared" si="289"/>
        <v>7</v>
      </c>
      <c r="FT117" s="1103">
        <f>SUM(EK117:EN117)</f>
        <v>7</v>
      </c>
      <c r="FU117" s="1103">
        <f t="shared" si="291"/>
        <v>9</v>
      </c>
      <c r="FV117" s="1104">
        <f t="shared" si="292"/>
        <v>5</v>
      </c>
      <c r="FW117" s="1104">
        <f t="shared" si="293"/>
        <v>8</v>
      </c>
      <c r="FX117" s="24">
        <f t="shared" si="294"/>
        <v>3</v>
      </c>
      <c r="FY117" s="24">
        <f t="shared" si="295"/>
        <v>8</v>
      </c>
      <c r="FZ117" s="95">
        <f t="shared" si="296"/>
        <v>0</v>
      </c>
      <c r="GA117" s="29">
        <f t="shared" si="297"/>
        <v>0</v>
      </c>
    </row>
    <row r="118" spans="1:183">
      <c r="A118" s="226" t="s">
        <v>974</v>
      </c>
      <c r="B118" s="233"/>
      <c r="C118" s="108"/>
      <c r="D118" s="108"/>
      <c r="E118" s="108"/>
      <c r="F118" s="108"/>
      <c r="G118" s="108"/>
      <c r="H118" s="108"/>
      <c r="I118" s="108"/>
      <c r="J118" s="108"/>
      <c r="K118" s="108"/>
      <c r="L118" s="108"/>
      <c r="M118" s="67"/>
      <c r="N118" s="120">
        <f t="shared" ref="N118:AW118" si="337">SUM(N90:N117)</f>
        <v>0</v>
      </c>
      <c r="O118" s="155">
        <f t="shared" si="337"/>
        <v>0</v>
      </c>
      <c r="P118" s="155">
        <f t="shared" si="337"/>
        <v>0</v>
      </c>
      <c r="Q118" s="155">
        <f t="shared" si="337"/>
        <v>0</v>
      </c>
      <c r="R118" s="155">
        <f t="shared" si="337"/>
        <v>0</v>
      </c>
      <c r="S118" s="155">
        <f t="shared" si="337"/>
        <v>0</v>
      </c>
      <c r="T118" s="155">
        <f t="shared" si="337"/>
        <v>0</v>
      </c>
      <c r="U118" s="155">
        <f t="shared" si="337"/>
        <v>0</v>
      </c>
      <c r="V118" s="155">
        <f t="shared" si="337"/>
        <v>0</v>
      </c>
      <c r="W118" s="155">
        <f t="shared" si="337"/>
        <v>1</v>
      </c>
      <c r="X118" s="155">
        <f t="shared" si="337"/>
        <v>12</v>
      </c>
      <c r="Y118" s="177">
        <f t="shared" si="337"/>
        <v>10</v>
      </c>
      <c r="Z118" s="155">
        <f t="shared" si="337"/>
        <v>11</v>
      </c>
      <c r="AA118" s="155">
        <f t="shared" si="337"/>
        <v>5</v>
      </c>
      <c r="AB118" s="155">
        <f t="shared" si="337"/>
        <v>8</v>
      </c>
      <c r="AC118" s="155">
        <f t="shared" si="337"/>
        <v>3</v>
      </c>
      <c r="AD118" s="155">
        <f t="shared" si="337"/>
        <v>5</v>
      </c>
      <c r="AE118" s="155">
        <f t="shared" si="337"/>
        <v>8</v>
      </c>
      <c r="AF118" s="155">
        <f t="shared" si="337"/>
        <v>12</v>
      </c>
      <c r="AG118" s="155">
        <f t="shared" si="337"/>
        <v>1</v>
      </c>
      <c r="AH118" s="155">
        <f t="shared" si="337"/>
        <v>4</v>
      </c>
      <c r="AI118" s="155">
        <f t="shared" si="337"/>
        <v>9</v>
      </c>
      <c r="AJ118" s="155">
        <f t="shared" si="337"/>
        <v>8</v>
      </c>
      <c r="AK118" s="155">
        <f t="shared" si="337"/>
        <v>8</v>
      </c>
      <c r="AL118" s="120">
        <f t="shared" si="337"/>
        <v>7</v>
      </c>
      <c r="AM118" s="155">
        <f t="shared" si="337"/>
        <v>2</v>
      </c>
      <c r="AN118" s="155">
        <f t="shared" si="337"/>
        <v>13</v>
      </c>
      <c r="AO118" s="155">
        <f t="shared" si="337"/>
        <v>6</v>
      </c>
      <c r="AP118" s="155">
        <f t="shared" si="337"/>
        <v>5</v>
      </c>
      <c r="AQ118" s="155">
        <f t="shared" si="337"/>
        <v>8</v>
      </c>
      <c r="AR118" s="155">
        <f t="shared" si="337"/>
        <v>15</v>
      </c>
      <c r="AS118" s="155">
        <f t="shared" si="337"/>
        <v>7</v>
      </c>
      <c r="AT118" s="155">
        <f t="shared" si="337"/>
        <v>4</v>
      </c>
      <c r="AU118" s="155">
        <f t="shared" si="337"/>
        <v>4</v>
      </c>
      <c r="AV118" s="155">
        <f t="shared" si="337"/>
        <v>6</v>
      </c>
      <c r="AW118" s="177">
        <f t="shared" si="337"/>
        <v>4</v>
      </c>
      <c r="AX118" s="120">
        <f t="shared" ref="AX118:BU118" si="338">SUM(AX90:AX117)</f>
        <v>0</v>
      </c>
      <c r="AY118" s="155">
        <f t="shared" si="338"/>
        <v>3</v>
      </c>
      <c r="AZ118" s="155">
        <f t="shared" si="338"/>
        <v>5</v>
      </c>
      <c r="BA118" s="155">
        <f t="shared" si="338"/>
        <v>5</v>
      </c>
      <c r="BB118" s="155">
        <f t="shared" si="338"/>
        <v>2</v>
      </c>
      <c r="BC118" s="155">
        <f t="shared" si="338"/>
        <v>2</v>
      </c>
      <c r="BD118" s="155">
        <f t="shared" si="338"/>
        <v>6</v>
      </c>
      <c r="BE118" s="155">
        <f t="shared" si="338"/>
        <v>11</v>
      </c>
      <c r="BF118" s="155">
        <f t="shared" si="338"/>
        <v>25</v>
      </c>
      <c r="BG118" s="155">
        <f t="shared" si="338"/>
        <v>5</v>
      </c>
      <c r="BH118" s="155">
        <f t="shared" si="338"/>
        <v>3</v>
      </c>
      <c r="BI118" s="155">
        <f t="shared" si="338"/>
        <v>13</v>
      </c>
      <c r="BJ118" s="120">
        <f t="shared" si="338"/>
        <v>32</v>
      </c>
      <c r="BK118" s="155">
        <f t="shared" si="338"/>
        <v>9</v>
      </c>
      <c r="BL118" s="155">
        <f t="shared" si="338"/>
        <v>1</v>
      </c>
      <c r="BM118" s="155">
        <f t="shared" si="338"/>
        <v>12</v>
      </c>
      <c r="BN118" s="155">
        <f t="shared" si="338"/>
        <v>11</v>
      </c>
      <c r="BO118" s="155">
        <f t="shared" si="338"/>
        <v>13</v>
      </c>
      <c r="BP118" s="155">
        <f t="shared" si="338"/>
        <v>6</v>
      </c>
      <c r="BQ118" s="155">
        <f t="shared" si="338"/>
        <v>8</v>
      </c>
      <c r="BR118" s="155">
        <f t="shared" si="338"/>
        <v>12</v>
      </c>
      <c r="BS118" s="155">
        <f t="shared" si="338"/>
        <v>5</v>
      </c>
      <c r="BT118" s="155">
        <f t="shared" si="338"/>
        <v>7</v>
      </c>
      <c r="BU118" s="177">
        <f t="shared" si="338"/>
        <v>11</v>
      </c>
      <c r="BV118" s="120">
        <f t="shared" ref="BV118:CS118" si="339">SUM(BV90:BV117)</f>
        <v>7</v>
      </c>
      <c r="BW118" s="155">
        <f t="shared" si="339"/>
        <v>5</v>
      </c>
      <c r="BX118" s="155">
        <f t="shared" si="339"/>
        <v>24</v>
      </c>
      <c r="BY118" s="155">
        <f t="shared" si="339"/>
        <v>8</v>
      </c>
      <c r="BZ118" s="155">
        <f t="shared" si="339"/>
        <v>5</v>
      </c>
      <c r="CA118" s="155">
        <f t="shared" si="339"/>
        <v>6</v>
      </c>
      <c r="CB118" s="155">
        <f t="shared" si="339"/>
        <v>13</v>
      </c>
      <c r="CC118" s="155">
        <f t="shared" si="339"/>
        <v>5</v>
      </c>
      <c r="CD118" s="155">
        <f t="shared" si="339"/>
        <v>16</v>
      </c>
      <c r="CE118" s="155">
        <f t="shared" si="339"/>
        <v>13</v>
      </c>
      <c r="CF118" s="155">
        <f t="shared" si="339"/>
        <v>16</v>
      </c>
      <c r="CG118" s="155">
        <f t="shared" si="339"/>
        <v>22</v>
      </c>
      <c r="CH118" s="120">
        <f>SUM(CH90:CH117)</f>
        <v>10</v>
      </c>
      <c r="CI118" s="155">
        <f t="shared" si="339"/>
        <v>3</v>
      </c>
      <c r="CJ118" s="155">
        <f t="shared" si="339"/>
        <v>15</v>
      </c>
      <c r="CK118" s="155">
        <f t="shared" si="339"/>
        <v>7</v>
      </c>
      <c r="CL118" s="155">
        <f t="shared" si="339"/>
        <v>6</v>
      </c>
      <c r="CM118" s="155">
        <f t="shared" si="339"/>
        <v>4</v>
      </c>
      <c r="CN118" s="155">
        <f t="shared" si="339"/>
        <v>21</v>
      </c>
      <c r="CO118" s="155">
        <f t="shared" si="339"/>
        <v>18</v>
      </c>
      <c r="CP118" s="155">
        <f t="shared" si="339"/>
        <v>8</v>
      </c>
      <c r="CQ118" s="155">
        <f t="shared" si="339"/>
        <v>45</v>
      </c>
      <c r="CR118" s="155">
        <f t="shared" si="339"/>
        <v>29</v>
      </c>
      <c r="CS118" s="177">
        <f t="shared" si="339"/>
        <v>63</v>
      </c>
      <c r="CT118" s="120">
        <f>SUM(CT90:CT117)</f>
        <v>18</v>
      </c>
      <c r="CU118" s="155">
        <f t="shared" ref="CU118:DE118" si="340">SUM(CU90:CU117)</f>
        <v>1</v>
      </c>
      <c r="CV118" s="155">
        <f t="shared" si="340"/>
        <v>0</v>
      </c>
      <c r="CW118" s="155">
        <f t="shared" si="340"/>
        <v>2</v>
      </c>
      <c r="CX118" s="155">
        <f t="shared" si="340"/>
        <v>1</v>
      </c>
      <c r="CY118" s="155">
        <f t="shared" si="340"/>
        <v>0</v>
      </c>
      <c r="CZ118" s="155">
        <f t="shared" si="340"/>
        <v>0</v>
      </c>
      <c r="DA118" s="155">
        <f t="shared" si="340"/>
        <v>2</v>
      </c>
      <c r="DB118" s="155">
        <f t="shared" si="340"/>
        <v>0</v>
      </c>
      <c r="DC118" s="155">
        <f t="shared" si="340"/>
        <v>1</v>
      </c>
      <c r="DD118" s="155">
        <f t="shared" si="340"/>
        <v>0</v>
      </c>
      <c r="DE118" s="177">
        <f t="shared" si="340"/>
        <v>1</v>
      </c>
      <c r="DF118" s="120">
        <f>SUM(DF90:DF117)</f>
        <v>0</v>
      </c>
      <c r="DG118" s="155">
        <f t="shared" ref="DG118:DQ118" si="341">SUM(DG90:DG117)</f>
        <v>0</v>
      </c>
      <c r="DH118" s="155">
        <f t="shared" si="341"/>
        <v>0</v>
      </c>
      <c r="DI118" s="155">
        <f t="shared" si="341"/>
        <v>0</v>
      </c>
      <c r="DJ118" s="155">
        <f t="shared" si="341"/>
        <v>0</v>
      </c>
      <c r="DK118" s="155">
        <f t="shared" si="341"/>
        <v>0</v>
      </c>
      <c r="DL118" s="155">
        <f t="shared" si="341"/>
        <v>0</v>
      </c>
      <c r="DM118" s="155">
        <f t="shared" si="341"/>
        <v>0</v>
      </c>
      <c r="DN118" s="155">
        <f t="shared" si="341"/>
        <v>0</v>
      </c>
      <c r="DO118" s="155">
        <f t="shared" si="341"/>
        <v>0</v>
      </c>
      <c r="DP118" s="155">
        <f t="shared" si="341"/>
        <v>0</v>
      </c>
      <c r="DQ118" s="177">
        <f t="shared" si="341"/>
        <v>0</v>
      </c>
      <c r="DR118" s="120">
        <f>SUM(DR90:DR117)</f>
        <v>0</v>
      </c>
      <c r="DS118" s="155">
        <f t="shared" ref="DS118:EC118" si="342">SUM(DS90:DS117)</f>
        <v>0</v>
      </c>
      <c r="DT118" s="155">
        <f t="shared" si="342"/>
        <v>0</v>
      </c>
      <c r="DU118" s="155">
        <f t="shared" si="342"/>
        <v>0</v>
      </c>
      <c r="DV118" s="155">
        <f t="shared" si="342"/>
        <v>0</v>
      </c>
      <c r="DW118" s="155">
        <f t="shared" si="342"/>
        <v>0</v>
      </c>
      <c r="DX118" s="155">
        <f t="shared" si="342"/>
        <v>0</v>
      </c>
      <c r="DY118" s="155">
        <f t="shared" si="342"/>
        <v>0</v>
      </c>
      <c r="DZ118" s="155">
        <f t="shared" si="342"/>
        <v>0</v>
      </c>
      <c r="EA118" s="155">
        <f t="shared" si="342"/>
        <v>0</v>
      </c>
      <c r="EB118" s="155">
        <f t="shared" si="342"/>
        <v>0</v>
      </c>
      <c r="EC118" s="177">
        <f t="shared" si="342"/>
        <v>0</v>
      </c>
      <c r="ED118" s="177">
        <f t="shared" si="260"/>
        <v>788</v>
      </c>
      <c r="EE118" s="1"/>
      <c r="EF118" s="254">
        <f>+W118+X118+Y118</f>
        <v>23</v>
      </c>
      <c r="EG118" s="182">
        <f>+Z118+AA118+AB118</f>
        <v>24</v>
      </c>
      <c r="EH118" s="253">
        <f>+AC118+AD118+AE118</f>
        <v>16</v>
      </c>
      <c r="EI118" s="253">
        <f>+AF118+AG118+AH118</f>
        <v>17</v>
      </c>
      <c r="EJ118" s="256">
        <f>+AI118+AJ118+AK118</f>
        <v>25</v>
      </c>
      <c r="EK118" s="253">
        <f>+AL118+AM118+AN118</f>
        <v>22</v>
      </c>
      <c r="EL118" s="253">
        <f>+AO118+AP118+AQ118</f>
        <v>19</v>
      </c>
      <c r="EM118" s="253">
        <f>+AR118+AS118+AT118</f>
        <v>26</v>
      </c>
      <c r="EN118" s="253">
        <f>+AU118+AV118+AW118</f>
        <v>14</v>
      </c>
      <c r="EO118" s="182">
        <f t="shared" si="298"/>
        <v>8</v>
      </c>
      <c r="EP118" s="253">
        <f t="shared" si="299"/>
        <v>9</v>
      </c>
      <c r="EQ118" s="253">
        <f t="shared" si="300"/>
        <v>42</v>
      </c>
      <c r="ER118" s="256">
        <f t="shared" si="301"/>
        <v>21</v>
      </c>
      <c r="ES118" s="159">
        <f t="shared" si="270"/>
        <v>42</v>
      </c>
      <c r="ET118" s="160">
        <f t="shared" si="271"/>
        <v>36</v>
      </c>
      <c r="EU118" s="160">
        <f t="shared" si="302"/>
        <v>26</v>
      </c>
      <c r="EV118" s="236">
        <f t="shared" si="303"/>
        <v>23</v>
      </c>
      <c r="EW118" s="159">
        <f t="shared" si="272"/>
        <v>36</v>
      </c>
      <c r="EX118" s="160">
        <f t="shared" si="273"/>
        <v>19</v>
      </c>
      <c r="EY118" s="160">
        <f t="shared" si="274"/>
        <v>34</v>
      </c>
      <c r="EZ118" s="236">
        <f t="shared" si="275"/>
        <v>51</v>
      </c>
      <c r="FA118" s="134">
        <f>SUM(CH118:CJ118)</f>
        <v>28</v>
      </c>
      <c r="FB118" s="133">
        <f>SUM(CK118:CM118)</f>
        <v>17</v>
      </c>
      <c r="FC118" s="133">
        <f>SUM(CN118:CP118)</f>
        <v>47</v>
      </c>
      <c r="FD118" s="138">
        <f>SUM(CQ118:CS118)</f>
        <v>137</v>
      </c>
      <c r="FE118" s="134">
        <f>SUM(CT118:CV118)</f>
        <v>19</v>
      </c>
      <c r="FF118" s="133">
        <f>SUM(CW118:CY118)</f>
        <v>3</v>
      </c>
      <c r="FG118" s="133">
        <f>SUM(CZ118:DB118)</f>
        <v>2</v>
      </c>
      <c r="FH118" s="138">
        <f>SUM(DC118:DE118)</f>
        <v>2</v>
      </c>
      <c r="FI118" s="134">
        <f t="shared" si="280"/>
        <v>0</v>
      </c>
      <c r="FJ118" s="133">
        <f t="shared" si="281"/>
        <v>0</v>
      </c>
      <c r="FK118" s="133">
        <f t="shared" si="282"/>
        <v>0</v>
      </c>
      <c r="FL118" s="138">
        <f t="shared" si="283"/>
        <v>0</v>
      </c>
      <c r="FM118" s="134">
        <f t="shared" si="284"/>
        <v>0</v>
      </c>
      <c r="FN118" s="133">
        <f t="shared" si="285"/>
        <v>0</v>
      </c>
      <c r="FO118" s="133">
        <f t="shared" si="286"/>
        <v>0</v>
      </c>
      <c r="FP118" s="138">
        <f t="shared" si="287"/>
        <v>0</v>
      </c>
      <c r="FR118" s="182">
        <f t="shared" si="288"/>
        <v>23</v>
      </c>
      <c r="FS118" s="253">
        <f t="shared" si="289"/>
        <v>82</v>
      </c>
      <c r="FT118" s="253">
        <f>SUM(EK118:EN118)</f>
        <v>81</v>
      </c>
      <c r="FU118" s="253">
        <f t="shared" si="291"/>
        <v>80</v>
      </c>
      <c r="FV118" s="160">
        <f t="shared" si="292"/>
        <v>127</v>
      </c>
      <c r="FW118" s="160">
        <f t="shared" si="293"/>
        <v>140</v>
      </c>
      <c r="FX118" s="253">
        <f t="shared" si="294"/>
        <v>229</v>
      </c>
      <c r="FY118" s="253">
        <f t="shared" si="295"/>
        <v>26</v>
      </c>
      <c r="FZ118" s="160">
        <f t="shared" si="296"/>
        <v>0</v>
      </c>
      <c r="GA118" s="236">
        <f t="shared" si="297"/>
        <v>0</v>
      </c>
    </row>
    <row r="119" spans="1:183">
      <c r="A119" s="74" t="s">
        <v>686</v>
      </c>
      <c r="B119" s="233"/>
      <c r="M119" s="74"/>
      <c r="N119" s="67">
        <f>N109+N93+N105+N107+N110+N114+N115+N117</f>
        <v>0</v>
      </c>
      <c r="O119" s="67">
        <f t="shared" ref="O119:BZ119" si="343">O109+O93+O105+O107+O110+O114+O115+O117</f>
        <v>0</v>
      </c>
      <c r="P119" s="67">
        <f t="shared" si="343"/>
        <v>0</v>
      </c>
      <c r="Q119" s="67">
        <f t="shared" si="343"/>
        <v>0</v>
      </c>
      <c r="R119" s="67">
        <f t="shared" si="343"/>
        <v>0</v>
      </c>
      <c r="S119" s="67">
        <f t="shared" si="343"/>
        <v>0</v>
      </c>
      <c r="T119" s="67">
        <f t="shared" si="343"/>
        <v>0</v>
      </c>
      <c r="U119" s="67">
        <f t="shared" si="343"/>
        <v>0</v>
      </c>
      <c r="V119" s="67">
        <f t="shared" si="343"/>
        <v>0</v>
      </c>
      <c r="W119" s="67">
        <f t="shared" si="343"/>
        <v>0</v>
      </c>
      <c r="X119" s="67">
        <f t="shared" si="343"/>
        <v>7</v>
      </c>
      <c r="Y119" s="67">
        <f t="shared" si="343"/>
        <v>2</v>
      </c>
      <c r="Z119" s="74">
        <f t="shared" si="343"/>
        <v>5</v>
      </c>
      <c r="AA119" s="67">
        <f t="shared" si="343"/>
        <v>3</v>
      </c>
      <c r="AB119" s="67">
        <f t="shared" si="343"/>
        <v>3</v>
      </c>
      <c r="AC119" s="67">
        <f t="shared" si="343"/>
        <v>0</v>
      </c>
      <c r="AD119" s="67">
        <f t="shared" si="343"/>
        <v>2</v>
      </c>
      <c r="AE119" s="67">
        <f t="shared" si="343"/>
        <v>2</v>
      </c>
      <c r="AF119" s="67">
        <f t="shared" si="343"/>
        <v>2</v>
      </c>
      <c r="AG119" s="67">
        <f t="shared" si="343"/>
        <v>0</v>
      </c>
      <c r="AH119" s="67">
        <f t="shared" si="343"/>
        <v>0</v>
      </c>
      <c r="AI119" s="67">
        <f t="shared" si="343"/>
        <v>0</v>
      </c>
      <c r="AJ119" s="67">
        <f t="shared" si="343"/>
        <v>0</v>
      </c>
      <c r="AK119" s="11">
        <f t="shared" si="343"/>
        <v>4</v>
      </c>
      <c r="AL119" s="67">
        <f t="shared" si="343"/>
        <v>1</v>
      </c>
      <c r="AM119" s="67">
        <f t="shared" si="343"/>
        <v>0</v>
      </c>
      <c r="AN119" s="67">
        <f t="shared" si="343"/>
        <v>1</v>
      </c>
      <c r="AO119" s="67">
        <f t="shared" si="343"/>
        <v>1</v>
      </c>
      <c r="AP119" s="67">
        <f t="shared" si="343"/>
        <v>1</v>
      </c>
      <c r="AQ119" s="67">
        <f t="shared" si="343"/>
        <v>3</v>
      </c>
      <c r="AR119" s="67">
        <f t="shared" si="343"/>
        <v>9</v>
      </c>
      <c r="AS119" s="67">
        <f t="shared" si="343"/>
        <v>0</v>
      </c>
      <c r="AT119" s="67">
        <f t="shared" si="343"/>
        <v>0</v>
      </c>
      <c r="AU119" s="67">
        <f t="shared" si="343"/>
        <v>3</v>
      </c>
      <c r="AV119" s="67">
        <f t="shared" si="343"/>
        <v>4</v>
      </c>
      <c r="AW119" s="67">
        <f t="shared" si="343"/>
        <v>1</v>
      </c>
      <c r="AX119" s="74">
        <f t="shared" si="343"/>
        <v>0</v>
      </c>
      <c r="AY119" s="67">
        <f t="shared" si="343"/>
        <v>0</v>
      </c>
      <c r="AZ119" s="67">
        <f t="shared" si="343"/>
        <v>3</v>
      </c>
      <c r="BA119" s="67">
        <f t="shared" si="343"/>
        <v>3</v>
      </c>
      <c r="BB119" s="67">
        <f t="shared" si="343"/>
        <v>1</v>
      </c>
      <c r="BC119" s="67">
        <f t="shared" si="343"/>
        <v>0</v>
      </c>
      <c r="BD119" s="67">
        <f t="shared" si="343"/>
        <v>1</v>
      </c>
      <c r="BE119" s="67">
        <f t="shared" si="343"/>
        <v>4</v>
      </c>
      <c r="BF119" s="67">
        <f t="shared" si="343"/>
        <v>9</v>
      </c>
      <c r="BG119" s="67">
        <f t="shared" si="343"/>
        <v>0</v>
      </c>
      <c r="BH119" s="67">
        <f t="shared" si="343"/>
        <v>1</v>
      </c>
      <c r="BI119" s="11">
        <f t="shared" si="343"/>
        <v>5</v>
      </c>
      <c r="BJ119" s="74">
        <f t="shared" si="343"/>
        <v>2</v>
      </c>
      <c r="BK119" s="67">
        <f t="shared" si="343"/>
        <v>2</v>
      </c>
      <c r="BL119" s="67">
        <f t="shared" si="343"/>
        <v>0</v>
      </c>
      <c r="BM119" s="67">
        <f t="shared" si="343"/>
        <v>3</v>
      </c>
      <c r="BN119" s="67">
        <f t="shared" si="343"/>
        <v>0</v>
      </c>
      <c r="BO119" s="67">
        <f t="shared" si="343"/>
        <v>2</v>
      </c>
      <c r="BP119" s="67">
        <f t="shared" si="343"/>
        <v>0</v>
      </c>
      <c r="BQ119" s="67">
        <f t="shared" si="343"/>
        <v>1</v>
      </c>
      <c r="BR119" s="67">
        <f t="shared" si="343"/>
        <v>3</v>
      </c>
      <c r="BS119" s="67">
        <f t="shared" si="343"/>
        <v>4</v>
      </c>
      <c r="BT119" s="67">
        <f t="shared" si="343"/>
        <v>2</v>
      </c>
      <c r="BU119" s="11">
        <f t="shared" si="343"/>
        <v>3</v>
      </c>
      <c r="BV119" s="67">
        <f t="shared" si="343"/>
        <v>3</v>
      </c>
      <c r="BW119" s="67">
        <f t="shared" si="343"/>
        <v>0</v>
      </c>
      <c r="BX119" s="67">
        <f t="shared" si="343"/>
        <v>9</v>
      </c>
      <c r="BY119" s="67">
        <f t="shared" si="343"/>
        <v>3</v>
      </c>
      <c r="BZ119" s="67">
        <f t="shared" si="343"/>
        <v>2</v>
      </c>
      <c r="CA119" s="67">
        <f t="shared" ref="CA119:DE119" si="344">CA109+CA93+CA105+CA107+CA110+CA114+CA115+CA117</f>
        <v>1</v>
      </c>
      <c r="CB119" s="67">
        <f t="shared" si="344"/>
        <v>3</v>
      </c>
      <c r="CC119" s="67">
        <f t="shared" si="344"/>
        <v>1</v>
      </c>
      <c r="CD119" s="67">
        <f t="shared" si="344"/>
        <v>1</v>
      </c>
      <c r="CE119" s="67">
        <f t="shared" si="344"/>
        <v>1</v>
      </c>
      <c r="CF119" s="67">
        <f t="shared" si="344"/>
        <v>1</v>
      </c>
      <c r="CG119" s="67">
        <f t="shared" si="344"/>
        <v>2</v>
      </c>
      <c r="CH119" s="74">
        <f t="shared" si="344"/>
        <v>2</v>
      </c>
      <c r="CI119" s="67">
        <f t="shared" si="344"/>
        <v>0</v>
      </c>
      <c r="CJ119" s="67">
        <f t="shared" si="344"/>
        <v>1</v>
      </c>
      <c r="CK119" s="67">
        <f t="shared" si="344"/>
        <v>0</v>
      </c>
      <c r="CL119" s="67">
        <f t="shared" si="344"/>
        <v>1</v>
      </c>
      <c r="CM119" s="67">
        <f t="shared" si="344"/>
        <v>1</v>
      </c>
      <c r="CN119" s="67">
        <f t="shared" si="344"/>
        <v>2</v>
      </c>
      <c r="CO119" s="67">
        <f t="shared" si="344"/>
        <v>0</v>
      </c>
      <c r="CP119" s="67">
        <f t="shared" si="344"/>
        <v>0</v>
      </c>
      <c r="CQ119" s="67">
        <f t="shared" si="344"/>
        <v>2</v>
      </c>
      <c r="CR119" s="67">
        <f t="shared" si="344"/>
        <v>3</v>
      </c>
      <c r="CS119" s="11">
        <f t="shared" si="344"/>
        <v>1</v>
      </c>
      <c r="CT119" s="67">
        <f t="shared" si="344"/>
        <v>8</v>
      </c>
      <c r="CU119" s="67">
        <f t="shared" si="344"/>
        <v>0</v>
      </c>
      <c r="CV119" s="67">
        <f t="shared" si="344"/>
        <v>0</v>
      </c>
      <c r="CW119" s="67">
        <f t="shared" si="344"/>
        <v>0</v>
      </c>
      <c r="CX119" s="67">
        <f t="shared" si="344"/>
        <v>0</v>
      </c>
      <c r="CY119" s="67">
        <f t="shared" si="344"/>
        <v>0</v>
      </c>
      <c r="CZ119" s="67">
        <f t="shared" si="344"/>
        <v>0</v>
      </c>
      <c r="DA119" s="67">
        <f t="shared" si="344"/>
        <v>0</v>
      </c>
      <c r="DB119" s="67">
        <f t="shared" si="344"/>
        <v>0</v>
      </c>
      <c r="DC119" s="67">
        <f t="shared" si="344"/>
        <v>0</v>
      </c>
      <c r="DD119" s="67">
        <f t="shared" si="344"/>
        <v>0</v>
      </c>
      <c r="DE119" s="67">
        <f t="shared" si="344"/>
        <v>0</v>
      </c>
      <c r="DF119" s="74">
        <f t="shared" ref="DF119:DQ119" si="345">DF109+DF93+DF105+DF107+DF110+DF114+DF115+DF117</f>
        <v>0</v>
      </c>
      <c r="DG119" s="67">
        <f t="shared" si="345"/>
        <v>0</v>
      </c>
      <c r="DH119" s="67">
        <f t="shared" si="345"/>
        <v>0</v>
      </c>
      <c r="DI119" s="67">
        <f t="shared" si="345"/>
        <v>0</v>
      </c>
      <c r="DJ119" s="67">
        <f t="shared" si="345"/>
        <v>0</v>
      </c>
      <c r="DK119" s="67">
        <f t="shared" si="345"/>
        <v>0</v>
      </c>
      <c r="DL119" s="67">
        <f t="shared" si="345"/>
        <v>0</v>
      </c>
      <c r="DM119" s="67">
        <f t="shared" si="345"/>
        <v>0</v>
      </c>
      <c r="DN119" s="67">
        <f t="shared" si="345"/>
        <v>0</v>
      </c>
      <c r="DO119" s="67">
        <f t="shared" si="345"/>
        <v>0</v>
      </c>
      <c r="DP119" s="67">
        <f t="shared" si="345"/>
        <v>0</v>
      </c>
      <c r="DQ119" s="11">
        <f t="shared" si="345"/>
        <v>0</v>
      </c>
      <c r="DR119" s="74">
        <f t="shared" ref="DR119:EC119" si="346">DR109+DR93+DR105+DR107+DR110+DR114+DR115+DR117</f>
        <v>0</v>
      </c>
      <c r="DS119" s="67">
        <f t="shared" si="346"/>
        <v>0</v>
      </c>
      <c r="DT119" s="67">
        <f t="shared" si="346"/>
        <v>0</v>
      </c>
      <c r="DU119" s="67">
        <f t="shared" si="346"/>
        <v>0</v>
      </c>
      <c r="DV119" s="67">
        <f t="shared" si="346"/>
        <v>0</v>
      </c>
      <c r="DW119" s="67">
        <f t="shared" si="346"/>
        <v>0</v>
      </c>
      <c r="DX119" s="67">
        <f t="shared" si="346"/>
        <v>0</v>
      </c>
      <c r="DY119" s="67">
        <f t="shared" si="346"/>
        <v>0</v>
      </c>
      <c r="DZ119" s="67">
        <f t="shared" si="346"/>
        <v>0</v>
      </c>
      <c r="EA119" s="67">
        <f t="shared" si="346"/>
        <v>0</v>
      </c>
      <c r="EB119" s="67">
        <f t="shared" si="346"/>
        <v>0</v>
      </c>
      <c r="EC119" s="11">
        <f t="shared" si="346"/>
        <v>0</v>
      </c>
      <c r="ED119" s="5">
        <f>ED109+ED93+ED105+ED107+ED110+ED114+ED115+ED117</f>
        <v>151</v>
      </c>
      <c r="EF119" s="317">
        <f t="shared" ref="EF119:EF124" si="347">(W119+X119+Y119)/EF$118</f>
        <v>0.39130434782608697</v>
      </c>
      <c r="EG119" s="178">
        <f t="shared" ref="EG119:EG124" si="348">(Z119+AA119+AB119)/EG$118</f>
        <v>0.45833333333333331</v>
      </c>
      <c r="EH119" s="142">
        <f t="shared" ref="EH119:EH124" si="349">(AC119+AD119+AE119)/EH$118</f>
        <v>0.25</v>
      </c>
      <c r="EI119" s="142">
        <f t="shared" ref="EI119:EI124" si="350">(AF119+AG119+AH119)/EI$118</f>
        <v>0.11764705882352941</v>
      </c>
      <c r="EJ119" s="89">
        <f t="shared" ref="EJ119:EJ124" si="351">(AI119+AJ119+AK119)/EJ$118</f>
        <v>0.16</v>
      </c>
      <c r="EK119" s="178">
        <f t="shared" ref="EK119:EK124" si="352">(AL119+AM119+AN119)/EK$118</f>
        <v>9.0909090909090912E-2</v>
      </c>
      <c r="EL119" s="142">
        <f t="shared" ref="EL119:EL124" si="353">(AO119+AP119+AQ119)/EL$118</f>
        <v>0.26315789473684209</v>
      </c>
      <c r="EM119" s="142">
        <f t="shared" ref="EM119:EM124" si="354">(AR119+AS119+AT119)/EM$118</f>
        <v>0.34615384615384615</v>
      </c>
      <c r="EN119" s="89">
        <f>(AU119+AV119+AW119)/EN118</f>
        <v>0.5714285714285714</v>
      </c>
      <c r="EO119" s="178">
        <f t="shared" ref="EO119:EO124" si="355">(AX119+AY119+AZ119)/EO$118</f>
        <v>0.375</v>
      </c>
      <c r="EP119" s="142">
        <f t="shared" ref="EP119:EP124" si="356">(BA119+BB119+BC119)/EP$118</f>
        <v>0.44444444444444442</v>
      </c>
      <c r="EQ119" s="142">
        <f t="shared" ref="EQ119:EQ124" si="357">(BD119+BE119+BF119)/EQ$118</f>
        <v>0.33333333333333331</v>
      </c>
      <c r="ER119" s="89">
        <f t="shared" ref="ER119:ER124" si="358">(BG119+BH119+BI119)/ER$118</f>
        <v>0.2857142857142857</v>
      </c>
      <c r="ES119" s="178">
        <f t="shared" ref="ES119:ES124" si="359">SUM(BJ119:BL119)/ES$118</f>
        <v>9.5238095238095233E-2</v>
      </c>
      <c r="ET119" s="142">
        <f t="shared" ref="ET119:ET124" si="360">SUM(BM119:BO119)/ET$118</f>
        <v>0.1388888888888889</v>
      </c>
      <c r="EU119" s="142">
        <f t="shared" ref="EU119:EU124" si="361">SUM(BP119:BR119)/EU$118</f>
        <v>0.15384615384615385</v>
      </c>
      <c r="EV119" s="89">
        <f t="shared" ref="EV119:EV124" si="362">SUM(BS119:BU119)/EV$118</f>
        <v>0.39130434782608697</v>
      </c>
      <c r="EW119" s="178">
        <f t="shared" ref="EW119:EW124" si="363">SUM(BV119:BX119)/EW$118</f>
        <v>0.33333333333333331</v>
      </c>
      <c r="EX119" s="142">
        <f t="shared" ref="EX119:EX124" si="364">SUM(BY119:CA119)/EX$118</f>
        <v>0.31578947368421051</v>
      </c>
      <c r="EY119" s="142">
        <f t="shared" ref="EY119:EY124" si="365">SUM(CB119:CD119)/EY$118</f>
        <v>0.14705882352941177</v>
      </c>
      <c r="EZ119" s="142">
        <f t="shared" ref="EZ119:EZ124" si="366">SUM(CE119:CG119)/EZ$118</f>
        <v>7.8431372549019607E-2</v>
      </c>
      <c r="FA119" s="178">
        <f t="shared" ref="FA119:FA124" si="367">SUM(CH119:CJ119)/FA$118</f>
        <v>0.10714285714285714</v>
      </c>
      <c r="FB119" s="142">
        <f t="shared" ref="FB119:FB124" si="368">SUM(CK119:CM119)/FB$118</f>
        <v>0.11764705882352941</v>
      </c>
      <c r="FC119" s="142">
        <f t="shared" ref="FC119:FC124" si="369">SUM(CN119:CP119)/FC$118</f>
        <v>4.2553191489361701E-2</v>
      </c>
      <c r="FD119" s="89">
        <f t="shared" ref="FD119:FD124" si="370">SUM(CQ119:CS119)/FD$118</f>
        <v>4.3795620437956206E-2</v>
      </c>
      <c r="FE119" s="178">
        <f>SUM(CT119:CV119)/FE$118</f>
        <v>0.42105263157894735</v>
      </c>
      <c r="FF119" s="142">
        <f>SUM(CW119:CY119)/FF$118</f>
        <v>0</v>
      </c>
      <c r="FG119" s="142">
        <f>SUM(CZ119:DB119)/FG$118</f>
        <v>0</v>
      </c>
      <c r="FH119" s="89">
        <f>SUM(DC119:DE119)/FH$118</f>
        <v>0</v>
      </c>
      <c r="FI119" s="178"/>
      <c r="FJ119" s="142"/>
      <c r="FK119" s="142"/>
      <c r="FL119" s="89"/>
      <c r="FM119" s="178"/>
      <c r="FN119" s="142"/>
      <c r="FO119" s="142"/>
      <c r="FP119" s="89"/>
    </row>
    <row r="120" spans="1:183">
      <c r="A120" s="21" t="s">
        <v>980</v>
      </c>
      <c r="B120" s="76"/>
      <c r="M120" s="19"/>
      <c r="N120" s="22">
        <f t="shared" ref="N120:AW120" si="371">+N91+N94+N95+N104+N108</f>
        <v>0</v>
      </c>
      <c r="O120" s="22">
        <f t="shared" si="371"/>
        <v>0</v>
      </c>
      <c r="P120" s="22">
        <f t="shared" si="371"/>
        <v>0</v>
      </c>
      <c r="Q120" s="22">
        <f t="shared" si="371"/>
        <v>0</v>
      </c>
      <c r="R120" s="22">
        <f t="shared" si="371"/>
        <v>0</v>
      </c>
      <c r="S120" s="22">
        <f t="shared" si="371"/>
        <v>0</v>
      </c>
      <c r="T120" s="22">
        <f t="shared" si="371"/>
        <v>0</v>
      </c>
      <c r="U120" s="22">
        <f t="shared" si="371"/>
        <v>0</v>
      </c>
      <c r="V120" s="22">
        <f t="shared" si="371"/>
        <v>0</v>
      </c>
      <c r="W120" s="22">
        <f>+W91+W94+W95+W104+W108</f>
        <v>0</v>
      </c>
      <c r="X120" s="22">
        <f t="shared" si="371"/>
        <v>2</v>
      </c>
      <c r="Y120" s="22">
        <f t="shared" si="371"/>
        <v>5</v>
      </c>
      <c r="Z120" s="19">
        <f t="shared" si="371"/>
        <v>1</v>
      </c>
      <c r="AA120" s="22">
        <f t="shared" si="371"/>
        <v>0</v>
      </c>
      <c r="AB120" s="22">
        <f t="shared" si="371"/>
        <v>3</v>
      </c>
      <c r="AC120" s="22">
        <f t="shared" si="371"/>
        <v>3</v>
      </c>
      <c r="AD120" s="22">
        <f t="shared" si="371"/>
        <v>2</v>
      </c>
      <c r="AE120" s="22">
        <f t="shared" si="371"/>
        <v>5</v>
      </c>
      <c r="AF120" s="22">
        <f t="shared" si="371"/>
        <v>3</v>
      </c>
      <c r="AG120" s="22">
        <f t="shared" si="371"/>
        <v>0</v>
      </c>
      <c r="AH120" s="22">
        <f t="shared" si="371"/>
        <v>0</v>
      </c>
      <c r="AI120" s="22">
        <f t="shared" si="371"/>
        <v>5</v>
      </c>
      <c r="AJ120" s="22">
        <f t="shared" si="371"/>
        <v>3</v>
      </c>
      <c r="AK120" s="12">
        <f t="shared" si="371"/>
        <v>1</v>
      </c>
      <c r="AL120" s="22">
        <f t="shared" si="371"/>
        <v>2</v>
      </c>
      <c r="AM120" s="22">
        <f t="shared" si="371"/>
        <v>1</v>
      </c>
      <c r="AN120" s="22">
        <f t="shared" si="371"/>
        <v>7</v>
      </c>
      <c r="AO120" s="22">
        <f t="shared" si="371"/>
        <v>1</v>
      </c>
      <c r="AP120" s="22">
        <f t="shared" si="371"/>
        <v>0</v>
      </c>
      <c r="AQ120" s="22">
        <f t="shared" si="371"/>
        <v>2</v>
      </c>
      <c r="AR120" s="22">
        <f t="shared" si="371"/>
        <v>3</v>
      </c>
      <c r="AS120" s="22">
        <f t="shared" si="371"/>
        <v>1</v>
      </c>
      <c r="AT120" s="22">
        <f t="shared" si="371"/>
        <v>0</v>
      </c>
      <c r="AU120" s="22">
        <f t="shared" si="371"/>
        <v>1</v>
      </c>
      <c r="AV120" s="22">
        <f t="shared" si="371"/>
        <v>0</v>
      </c>
      <c r="AW120" s="22">
        <f t="shared" si="371"/>
        <v>1</v>
      </c>
      <c r="AX120" s="19">
        <f t="shared" ref="AX120:BI120" si="372">+AX91+AX94+AX95+AX104+AX108</f>
        <v>0</v>
      </c>
      <c r="AY120" s="22">
        <f t="shared" si="372"/>
        <v>2</v>
      </c>
      <c r="AZ120" s="22">
        <f t="shared" si="372"/>
        <v>1</v>
      </c>
      <c r="BA120" s="22">
        <f t="shared" si="372"/>
        <v>0</v>
      </c>
      <c r="BB120" s="22">
        <f t="shared" si="372"/>
        <v>1</v>
      </c>
      <c r="BC120" s="22">
        <f t="shared" si="372"/>
        <v>0</v>
      </c>
      <c r="BD120" s="22">
        <f t="shared" si="372"/>
        <v>2</v>
      </c>
      <c r="BE120" s="22">
        <f t="shared" si="372"/>
        <v>2</v>
      </c>
      <c r="BF120" s="22">
        <f t="shared" si="372"/>
        <v>13</v>
      </c>
      <c r="BG120" s="22">
        <f t="shared" si="372"/>
        <v>0</v>
      </c>
      <c r="BH120" s="22">
        <f t="shared" si="372"/>
        <v>0</v>
      </c>
      <c r="BI120" s="12">
        <f t="shared" si="372"/>
        <v>1</v>
      </c>
      <c r="BJ120" s="19">
        <f t="shared" ref="BJ120:BU120" si="373">+BJ91+BJ94+BJ95+BJ104+BJ108</f>
        <v>26</v>
      </c>
      <c r="BK120" s="22">
        <f t="shared" si="373"/>
        <v>0</v>
      </c>
      <c r="BL120" s="22">
        <f t="shared" si="373"/>
        <v>0</v>
      </c>
      <c r="BM120" s="22">
        <f t="shared" si="373"/>
        <v>5</v>
      </c>
      <c r="BN120" s="22">
        <f t="shared" si="373"/>
        <v>1</v>
      </c>
      <c r="BO120" s="22">
        <f t="shared" si="373"/>
        <v>1</v>
      </c>
      <c r="BP120" s="22">
        <f t="shared" si="373"/>
        <v>0</v>
      </c>
      <c r="BQ120" s="22">
        <f t="shared" si="373"/>
        <v>2</v>
      </c>
      <c r="BR120" s="22">
        <f t="shared" si="373"/>
        <v>0</v>
      </c>
      <c r="BS120" s="22">
        <f t="shared" si="373"/>
        <v>0</v>
      </c>
      <c r="BT120" s="22">
        <f t="shared" si="373"/>
        <v>0</v>
      </c>
      <c r="BU120" s="12">
        <f t="shared" si="373"/>
        <v>1</v>
      </c>
      <c r="BV120" s="22">
        <f t="shared" ref="BV120:CG120" si="374">+BV91+BV94+BV95+BV104+BV108</f>
        <v>0</v>
      </c>
      <c r="BW120" s="22">
        <f t="shared" si="374"/>
        <v>2</v>
      </c>
      <c r="BX120" s="22">
        <f t="shared" si="374"/>
        <v>10</v>
      </c>
      <c r="BY120" s="22">
        <f t="shared" si="374"/>
        <v>0</v>
      </c>
      <c r="BZ120" s="22">
        <f t="shared" si="374"/>
        <v>0</v>
      </c>
      <c r="CA120" s="22">
        <f t="shared" si="374"/>
        <v>3</v>
      </c>
      <c r="CB120" s="22">
        <f t="shared" si="374"/>
        <v>3</v>
      </c>
      <c r="CC120" s="22">
        <f t="shared" si="374"/>
        <v>1</v>
      </c>
      <c r="CD120" s="22">
        <f t="shared" si="374"/>
        <v>3</v>
      </c>
      <c r="CE120" s="22">
        <f t="shared" si="374"/>
        <v>8</v>
      </c>
      <c r="CF120" s="22">
        <f t="shared" si="374"/>
        <v>5</v>
      </c>
      <c r="CG120" s="22">
        <f t="shared" si="374"/>
        <v>4</v>
      </c>
      <c r="CH120" s="19">
        <f t="shared" ref="CH120:CS120" si="375">+CH91+CH94+CH95+CH104+CH108</f>
        <v>0</v>
      </c>
      <c r="CI120" s="22">
        <f t="shared" si="375"/>
        <v>2</v>
      </c>
      <c r="CJ120" s="22">
        <f t="shared" si="375"/>
        <v>3</v>
      </c>
      <c r="CK120" s="22">
        <f t="shared" si="375"/>
        <v>2</v>
      </c>
      <c r="CL120" s="22">
        <f t="shared" si="375"/>
        <v>4</v>
      </c>
      <c r="CM120" s="22">
        <f t="shared" si="375"/>
        <v>0</v>
      </c>
      <c r="CN120" s="22">
        <f t="shared" si="375"/>
        <v>5</v>
      </c>
      <c r="CO120" s="22">
        <f t="shared" si="375"/>
        <v>12</v>
      </c>
      <c r="CP120" s="22">
        <f t="shared" si="375"/>
        <v>6</v>
      </c>
      <c r="CQ120" s="22">
        <f t="shared" si="375"/>
        <v>33</v>
      </c>
      <c r="CR120" s="22">
        <f t="shared" si="375"/>
        <v>19</v>
      </c>
      <c r="CS120" s="12">
        <f t="shared" si="375"/>
        <v>38</v>
      </c>
      <c r="CT120" s="22">
        <f t="shared" ref="CT120:DE120" si="376">+CT91+CT94+CT95+CT104+CT108</f>
        <v>3</v>
      </c>
      <c r="CU120" s="22">
        <f t="shared" si="376"/>
        <v>0</v>
      </c>
      <c r="CV120" s="22">
        <f t="shared" si="376"/>
        <v>0</v>
      </c>
      <c r="CW120" s="22">
        <f t="shared" si="376"/>
        <v>0</v>
      </c>
      <c r="CX120" s="22">
        <f t="shared" si="376"/>
        <v>1</v>
      </c>
      <c r="CY120" s="22">
        <f t="shared" si="376"/>
        <v>0</v>
      </c>
      <c r="CZ120" s="22">
        <f t="shared" si="376"/>
        <v>0</v>
      </c>
      <c r="DA120" s="22">
        <f t="shared" si="376"/>
        <v>0</v>
      </c>
      <c r="DB120" s="22">
        <f t="shared" si="376"/>
        <v>0</v>
      </c>
      <c r="DC120" s="22">
        <f t="shared" si="376"/>
        <v>0</v>
      </c>
      <c r="DD120" s="22">
        <f t="shared" si="376"/>
        <v>0</v>
      </c>
      <c r="DE120" s="22">
        <f t="shared" si="376"/>
        <v>0</v>
      </c>
      <c r="DF120" s="19">
        <f t="shared" ref="DF120:DQ120" si="377">+DF91+DF94+DF95+DF104+DF108</f>
        <v>0</v>
      </c>
      <c r="DG120" s="22">
        <f t="shared" si="377"/>
        <v>0</v>
      </c>
      <c r="DH120" s="22">
        <f t="shared" si="377"/>
        <v>0</v>
      </c>
      <c r="DI120" s="22">
        <f t="shared" si="377"/>
        <v>0</v>
      </c>
      <c r="DJ120" s="22">
        <f t="shared" si="377"/>
        <v>0</v>
      </c>
      <c r="DK120" s="22">
        <f t="shared" si="377"/>
        <v>0</v>
      </c>
      <c r="DL120" s="22">
        <f t="shared" si="377"/>
        <v>0</v>
      </c>
      <c r="DM120" s="22">
        <f t="shared" si="377"/>
        <v>0</v>
      </c>
      <c r="DN120" s="22">
        <f t="shared" si="377"/>
        <v>0</v>
      </c>
      <c r="DO120" s="22">
        <f t="shared" si="377"/>
        <v>0</v>
      </c>
      <c r="DP120" s="22">
        <f t="shared" si="377"/>
        <v>0</v>
      </c>
      <c r="DQ120" s="12">
        <f t="shared" si="377"/>
        <v>0</v>
      </c>
      <c r="DR120" s="19">
        <f t="shared" ref="DR120:EC120" si="378">+DR91+DR94+DR95+DR104+DR108</f>
        <v>0</v>
      </c>
      <c r="DS120" s="22">
        <f t="shared" si="378"/>
        <v>0</v>
      </c>
      <c r="DT120" s="22">
        <f t="shared" si="378"/>
        <v>0</v>
      </c>
      <c r="DU120" s="22">
        <f t="shared" si="378"/>
        <v>0</v>
      </c>
      <c r="DV120" s="22">
        <f t="shared" si="378"/>
        <v>0</v>
      </c>
      <c r="DW120" s="22">
        <f t="shared" si="378"/>
        <v>0</v>
      </c>
      <c r="DX120" s="22">
        <f t="shared" si="378"/>
        <v>0</v>
      </c>
      <c r="DY120" s="22">
        <f t="shared" si="378"/>
        <v>0</v>
      </c>
      <c r="DZ120" s="22">
        <f t="shared" si="378"/>
        <v>0</v>
      </c>
      <c r="EA120" s="22">
        <f t="shared" si="378"/>
        <v>0</v>
      </c>
      <c r="EB120" s="22">
        <f t="shared" si="378"/>
        <v>0</v>
      </c>
      <c r="EC120" s="12">
        <f t="shared" si="378"/>
        <v>0</v>
      </c>
      <c r="ED120" s="6">
        <f>+ED91+ED94+ED95+ED104+ED108</f>
        <v>277</v>
      </c>
      <c r="EF120" s="162">
        <f t="shared" si="347"/>
        <v>0.30434782608695654</v>
      </c>
      <c r="EG120" s="179">
        <f t="shared" si="348"/>
        <v>0.16666666666666666</v>
      </c>
      <c r="EH120" s="123">
        <f t="shared" si="349"/>
        <v>0.625</v>
      </c>
      <c r="EI120" s="123">
        <f t="shared" si="350"/>
        <v>0.17647058823529413</v>
      </c>
      <c r="EJ120" s="91">
        <f t="shared" si="351"/>
        <v>0.36</v>
      </c>
      <c r="EK120" s="179">
        <f t="shared" si="352"/>
        <v>0.45454545454545453</v>
      </c>
      <c r="EL120" s="123">
        <f t="shared" si="353"/>
        <v>0.15789473684210525</v>
      </c>
      <c r="EM120" s="123">
        <f t="shared" si="354"/>
        <v>0.15384615384615385</v>
      </c>
      <c r="EN120" s="91">
        <f>(AU120+AV120+AW120)/EN118</f>
        <v>0.14285714285714285</v>
      </c>
      <c r="EO120" s="179">
        <f t="shared" si="355"/>
        <v>0.375</v>
      </c>
      <c r="EP120" s="123">
        <f t="shared" si="356"/>
        <v>0.1111111111111111</v>
      </c>
      <c r="EQ120" s="123">
        <f t="shared" si="357"/>
        <v>0.40476190476190477</v>
      </c>
      <c r="ER120" s="91">
        <f t="shared" si="358"/>
        <v>4.7619047619047616E-2</v>
      </c>
      <c r="ES120" s="179">
        <f t="shared" si="359"/>
        <v>0.61904761904761907</v>
      </c>
      <c r="ET120" s="123">
        <f t="shared" si="360"/>
        <v>0.19444444444444445</v>
      </c>
      <c r="EU120" s="123">
        <f t="shared" si="361"/>
        <v>7.6923076923076927E-2</v>
      </c>
      <c r="EV120" s="91">
        <f t="shared" si="362"/>
        <v>4.3478260869565216E-2</v>
      </c>
      <c r="EW120" s="179">
        <f t="shared" si="363"/>
        <v>0.33333333333333331</v>
      </c>
      <c r="EX120" s="123">
        <f t="shared" si="364"/>
        <v>0.15789473684210525</v>
      </c>
      <c r="EY120" s="123">
        <f t="shared" si="365"/>
        <v>0.20588235294117646</v>
      </c>
      <c r="EZ120" s="123">
        <f t="shared" si="366"/>
        <v>0.33333333333333331</v>
      </c>
      <c r="FA120" s="179">
        <f t="shared" si="367"/>
        <v>0.17857142857142858</v>
      </c>
      <c r="FB120" s="123">
        <f t="shared" si="368"/>
        <v>0.35294117647058826</v>
      </c>
      <c r="FC120" s="123">
        <f t="shared" si="369"/>
        <v>0.48936170212765956</v>
      </c>
      <c r="FD120" s="91">
        <f t="shared" si="370"/>
        <v>0.65693430656934304</v>
      </c>
      <c r="FE120" s="179">
        <f t="shared" ref="FE120:FE124" si="379">SUM(CT120:CV120)/FE$118</f>
        <v>0.15789473684210525</v>
      </c>
      <c r="FF120" s="123">
        <f t="shared" ref="FF120:FF124" si="380">SUM(CW120:CY120)/FF$118</f>
        <v>0.33333333333333331</v>
      </c>
      <c r="FG120" s="123">
        <f t="shared" ref="FG120:FG124" si="381">SUM(CZ120:DB120)/FG$118</f>
        <v>0</v>
      </c>
      <c r="FH120" s="91">
        <f t="shared" ref="FH120:FH124" si="382">SUM(DC120:DE120)/FH$118</f>
        <v>0</v>
      </c>
      <c r="FI120" s="179"/>
      <c r="FJ120" s="123"/>
      <c r="FK120" s="123"/>
      <c r="FL120" s="91"/>
      <c r="FM120" s="179"/>
      <c r="FN120" s="123"/>
      <c r="FO120" s="123"/>
      <c r="FP120" s="91"/>
    </row>
    <row r="121" spans="1:183">
      <c r="A121" s="19" t="s">
        <v>1051</v>
      </c>
      <c r="B121" s="76"/>
      <c r="M121" s="19"/>
      <c r="N121" s="22">
        <f t="shared" ref="N121:AS121" si="383">+N97+N98+N99+N100+N101+N102+N116</f>
        <v>0</v>
      </c>
      <c r="O121" s="22">
        <f t="shared" si="383"/>
        <v>0</v>
      </c>
      <c r="P121" s="22">
        <f t="shared" si="383"/>
        <v>0</v>
      </c>
      <c r="Q121" s="22">
        <f t="shared" si="383"/>
        <v>0</v>
      </c>
      <c r="R121" s="22">
        <f t="shared" si="383"/>
        <v>0</v>
      </c>
      <c r="S121" s="22">
        <f t="shared" si="383"/>
        <v>0</v>
      </c>
      <c r="T121" s="22">
        <f t="shared" si="383"/>
        <v>0</v>
      </c>
      <c r="U121" s="22">
        <f t="shared" si="383"/>
        <v>0</v>
      </c>
      <c r="V121" s="22">
        <f t="shared" si="383"/>
        <v>0</v>
      </c>
      <c r="W121" s="22">
        <f>+W97+W98+W99+W100+W101+W102+W116</f>
        <v>1</v>
      </c>
      <c r="X121" s="22">
        <f t="shared" si="383"/>
        <v>3</v>
      </c>
      <c r="Y121" s="22">
        <f t="shared" si="383"/>
        <v>2</v>
      </c>
      <c r="Z121" s="19">
        <f t="shared" si="383"/>
        <v>4</v>
      </c>
      <c r="AA121" s="22">
        <f t="shared" si="383"/>
        <v>1</v>
      </c>
      <c r="AB121" s="22">
        <f t="shared" si="383"/>
        <v>1</v>
      </c>
      <c r="AC121" s="22">
        <f t="shared" si="383"/>
        <v>0</v>
      </c>
      <c r="AD121" s="22">
        <f t="shared" si="383"/>
        <v>0</v>
      </c>
      <c r="AE121" s="22">
        <f t="shared" si="383"/>
        <v>0</v>
      </c>
      <c r="AF121" s="22">
        <f t="shared" si="383"/>
        <v>4</v>
      </c>
      <c r="AG121" s="22">
        <f t="shared" si="383"/>
        <v>0</v>
      </c>
      <c r="AH121" s="22">
        <f t="shared" si="383"/>
        <v>0</v>
      </c>
      <c r="AI121" s="22">
        <f t="shared" si="383"/>
        <v>2</v>
      </c>
      <c r="AJ121" s="22">
        <f t="shared" si="383"/>
        <v>0</v>
      </c>
      <c r="AK121" s="12">
        <f t="shared" si="383"/>
        <v>2</v>
      </c>
      <c r="AL121" s="22">
        <f t="shared" si="383"/>
        <v>2</v>
      </c>
      <c r="AM121" s="22">
        <f t="shared" si="383"/>
        <v>0</v>
      </c>
      <c r="AN121" s="22">
        <f t="shared" si="383"/>
        <v>0</v>
      </c>
      <c r="AO121" s="22">
        <f t="shared" si="383"/>
        <v>1</v>
      </c>
      <c r="AP121" s="22">
        <f t="shared" si="383"/>
        <v>3</v>
      </c>
      <c r="AQ121" s="22">
        <f t="shared" si="383"/>
        <v>2</v>
      </c>
      <c r="AR121" s="22">
        <f t="shared" si="383"/>
        <v>0</v>
      </c>
      <c r="AS121" s="22">
        <f t="shared" si="383"/>
        <v>3</v>
      </c>
      <c r="AT121" s="22">
        <f t="shared" ref="AT121:BI121" si="384">+AT97+AT98+AT99+AT100+AT101+AT102+AT116</f>
        <v>1</v>
      </c>
      <c r="AU121" s="22">
        <f t="shared" si="384"/>
        <v>0</v>
      </c>
      <c r="AV121" s="22">
        <f t="shared" si="384"/>
        <v>1</v>
      </c>
      <c r="AW121" s="22">
        <f t="shared" si="384"/>
        <v>0</v>
      </c>
      <c r="AX121" s="19">
        <f t="shared" si="384"/>
        <v>0</v>
      </c>
      <c r="AY121" s="22">
        <f t="shared" si="384"/>
        <v>0</v>
      </c>
      <c r="AZ121" s="22">
        <f t="shared" si="384"/>
        <v>0</v>
      </c>
      <c r="BA121" s="22">
        <f t="shared" si="384"/>
        <v>2</v>
      </c>
      <c r="BB121" s="22">
        <f t="shared" si="384"/>
        <v>0</v>
      </c>
      <c r="BC121" s="22">
        <f t="shared" si="384"/>
        <v>1</v>
      </c>
      <c r="BD121" s="22">
        <f t="shared" si="384"/>
        <v>1</v>
      </c>
      <c r="BE121" s="22">
        <f t="shared" si="384"/>
        <v>2</v>
      </c>
      <c r="BF121" s="22">
        <f t="shared" si="384"/>
        <v>2</v>
      </c>
      <c r="BG121" s="22">
        <f t="shared" si="384"/>
        <v>3</v>
      </c>
      <c r="BH121" s="22">
        <f t="shared" si="384"/>
        <v>2</v>
      </c>
      <c r="BI121" s="12">
        <f t="shared" si="384"/>
        <v>5</v>
      </c>
      <c r="BJ121" s="19">
        <f t="shared" ref="BJ121:BU121" si="385">+BJ97+BJ98+BJ99+BJ100+BJ101+BJ102+BJ116</f>
        <v>3</v>
      </c>
      <c r="BK121" s="22">
        <f t="shared" si="385"/>
        <v>4</v>
      </c>
      <c r="BL121" s="22">
        <f t="shared" si="385"/>
        <v>0</v>
      </c>
      <c r="BM121" s="22">
        <f t="shared" si="385"/>
        <v>2</v>
      </c>
      <c r="BN121" s="22">
        <f t="shared" si="385"/>
        <v>2</v>
      </c>
      <c r="BO121" s="22">
        <f t="shared" si="385"/>
        <v>7</v>
      </c>
      <c r="BP121" s="22">
        <f t="shared" si="385"/>
        <v>2</v>
      </c>
      <c r="BQ121" s="22">
        <f t="shared" si="385"/>
        <v>3</v>
      </c>
      <c r="BR121" s="22">
        <f t="shared" si="385"/>
        <v>5</v>
      </c>
      <c r="BS121" s="22">
        <f t="shared" si="385"/>
        <v>1</v>
      </c>
      <c r="BT121" s="22">
        <f t="shared" si="385"/>
        <v>4</v>
      </c>
      <c r="BU121" s="12">
        <f t="shared" si="385"/>
        <v>6</v>
      </c>
      <c r="BV121" s="22">
        <f t="shared" ref="BV121:CG121" si="386">+BV97+BV98+BV99+BV100+BV101+BV102+BV116</f>
        <v>2</v>
      </c>
      <c r="BW121" s="22">
        <f t="shared" si="386"/>
        <v>2</v>
      </c>
      <c r="BX121" s="22">
        <f t="shared" si="386"/>
        <v>3</v>
      </c>
      <c r="BY121" s="22">
        <f t="shared" si="386"/>
        <v>3</v>
      </c>
      <c r="BZ121" s="22">
        <f t="shared" si="386"/>
        <v>2</v>
      </c>
      <c r="CA121" s="22">
        <f t="shared" si="386"/>
        <v>2</v>
      </c>
      <c r="CB121" s="22">
        <f t="shared" si="386"/>
        <v>7</v>
      </c>
      <c r="CC121" s="22">
        <f t="shared" si="386"/>
        <v>3</v>
      </c>
      <c r="CD121" s="22">
        <f t="shared" si="386"/>
        <v>10</v>
      </c>
      <c r="CE121" s="22">
        <f t="shared" si="386"/>
        <v>2</v>
      </c>
      <c r="CF121" s="22">
        <f t="shared" si="386"/>
        <v>9</v>
      </c>
      <c r="CG121" s="22">
        <f t="shared" si="386"/>
        <v>15</v>
      </c>
      <c r="CH121" s="19">
        <f t="shared" ref="CH121:CS121" si="387">+CH97+CH98+CH99+CH100+CH101+CH102+CH116</f>
        <v>7</v>
      </c>
      <c r="CI121" s="22">
        <f t="shared" si="387"/>
        <v>1</v>
      </c>
      <c r="CJ121" s="22">
        <f t="shared" si="387"/>
        <v>7</v>
      </c>
      <c r="CK121" s="22">
        <f t="shared" si="387"/>
        <v>3</v>
      </c>
      <c r="CL121" s="22">
        <f t="shared" si="387"/>
        <v>1</v>
      </c>
      <c r="CM121" s="22">
        <f t="shared" si="387"/>
        <v>2</v>
      </c>
      <c r="CN121" s="22">
        <f t="shared" si="387"/>
        <v>5</v>
      </c>
      <c r="CO121" s="22">
        <f t="shared" si="387"/>
        <v>4</v>
      </c>
      <c r="CP121" s="22">
        <f t="shared" si="387"/>
        <v>2</v>
      </c>
      <c r="CQ121" s="22">
        <f t="shared" si="387"/>
        <v>8</v>
      </c>
      <c r="CR121" s="22">
        <f t="shared" si="387"/>
        <v>6</v>
      </c>
      <c r="CS121" s="12">
        <f t="shared" si="387"/>
        <v>20</v>
      </c>
      <c r="CT121" s="22">
        <f t="shared" ref="CT121:DE121" si="388">+CT97+CT98+CT99+CT100+CT101+CT102+CT116</f>
        <v>4</v>
      </c>
      <c r="CU121" s="22">
        <f t="shared" si="388"/>
        <v>0</v>
      </c>
      <c r="CV121" s="22">
        <f t="shared" si="388"/>
        <v>0</v>
      </c>
      <c r="CW121" s="22">
        <f t="shared" si="388"/>
        <v>2</v>
      </c>
      <c r="CX121" s="22">
        <f t="shared" si="388"/>
        <v>0</v>
      </c>
      <c r="CY121" s="22">
        <f t="shared" si="388"/>
        <v>0</v>
      </c>
      <c r="CZ121" s="22">
        <f t="shared" si="388"/>
        <v>0</v>
      </c>
      <c r="DA121" s="22">
        <f t="shared" si="388"/>
        <v>2</v>
      </c>
      <c r="DB121" s="22">
        <f t="shared" si="388"/>
        <v>0</v>
      </c>
      <c r="DC121" s="22">
        <f t="shared" si="388"/>
        <v>1</v>
      </c>
      <c r="DD121" s="22">
        <f t="shared" si="388"/>
        <v>0</v>
      </c>
      <c r="DE121" s="22">
        <f t="shared" si="388"/>
        <v>1</v>
      </c>
      <c r="DF121" s="19">
        <f t="shared" ref="DF121:DQ121" si="389">+DF97+DF98+DF99+DF100+DF101+DF102+DF116</f>
        <v>0</v>
      </c>
      <c r="DG121" s="22">
        <f t="shared" si="389"/>
        <v>0</v>
      </c>
      <c r="DH121" s="22">
        <f t="shared" si="389"/>
        <v>0</v>
      </c>
      <c r="DI121" s="22">
        <f t="shared" si="389"/>
        <v>0</v>
      </c>
      <c r="DJ121" s="22">
        <f t="shared" si="389"/>
        <v>0</v>
      </c>
      <c r="DK121" s="22">
        <f t="shared" si="389"/>
        <v>0</v>
      </c>
      <c r="DL121" s="22">
        <f t="shared" si="389"/>
        <v>0</v>
      </c>
      <c r="DM121" s="22">
        <f t="shared" si="389"/>
        <v>0</v>
      </c>
      <c r="DN121" s="22">
        <f t="shared" si="389"/>
        <v>0</v>
      </c>
      <c r="DO121" s="22">
        <f t="shared" si="389"/>
        <v>0</v>
      </c>
      <c r="DP121" s="22">
        <f t="shared" si="389"/>
        <v>0</v>
      </c>
      <c r="DQ121" s="12">
        <f t="shared" si="389"/>
        <v>0</v>
      </c>
      <c r="DR121" s="19">
        <f t="shared" ref="DR121:EC121" si="390">+DR97+DR98+DR99+DR100+DR101+DR102+DR116</f>
        <v>0</v>
      </c>
      <c r="DS121" s="22">
        <f t="shared" si="390"/>
        <v>0</v>
      </c>
      <c r="DT121" s="22">
        <f t="shared" si="390"/>
        <v>0</v>
      </c>
      <c r="DU121" s="22">
        <f t="shared" si="390"/>
        <v>0</v>
      </c>
      <c r="DV121" s="22">
        <f t="shared" si="390"/>
        <v>0</v>
      </c>
      <c r="DW121" s="22">
        <f t="shared" si="390"/>
        <v>0</v>
      </c>
      <c r="DX121" s="22">
        <f t="shared" si="390"/>
        <v>0</v>
      </c>
      <c r="DY121" s="22">
        <f t="shared" si="390"/>
        <v>0</v>
      </c>
      <c r="DZ121" s="22">
        <f t="shared" si="390"/>
        <v>0</v>
      </c>
      <c r="EA121" s="22">
        <f t="shared" si="390"/>
        <v>0</v>
      </c>
      <c r="EB121" s="22">
        <f t="shared" si="390"/>
        <v>0</v>
      </c>
      <c r="EC121" s="12">
        <f t="shared" si="390"/>
        <v>0</v>
      </c>
      <c r="ED121" s="6">
        <f>+ED97+ED98+ED99+ED100+ED101+ED102+ED116</f>
        <v>226</v>
      </c>
      <c r="EF121" s="162">
        <f t="shared" si="347"/>
        <v>0.2608695652173913</v>
      </c>
      <c r="EG121" s="179">
        <f t="shared" si="348"/>
        <v>0.25</v>
      </c>
      <c r="EH121" s="123">
        <f t="shared" si="349"/>
        <v>0</v>
      </c>
      <c r="EI121" s="123">
        <f t="shared" si="350"/>
        <v>0.23529411764705882</v>
      </c>
      <c r="EJ121" s="91">
        <f t="shared" si="351"/>
        <v>0.16</v>
      </c>
      <c r="EK121" s="179">
        <f t="shared" si="352"/>
        <v>9.0909090909090912E-2</v>
      </c>
      <c r="EL121" s="123">
        <f t="shared" si="353"/>
        <v>0.31578947368421051</v>
      </c>
      <c r="EM121" s="123">
        <f t="shared" si="354"/>
        <v>0.15384615384615385</v>
      </c>
      <c r="EN121" s="91">
        <f>(AU121+AV121+AW121)/EN118</f>
        <v>7.1428571428571425E-2</v>
      </c>
      <c r="EO121" s="179">
        <f t="shared" si="355"/>
        <v>0</v>
      </c>
      <c r="EP121" s="123">
        <f t="shared" si="356"/>
        <v>0.33333333333333331</v>
      </c>
      <c r="EQ121" s="123">
        <f t="shared" si="357"/>
        <v>0.11904761904761904</v>
      </c>
      <c r="ER121" s="91">
        <f t="shared" si="358"/>
        <v>0.47619047619047616</v>
      </c>
      <c r="ES121" s="179">
        <f t="shared" si="359"/>
        <v>0.16666666666666666</v>
      </c>
      <c r="ET121" s="123">
        <f t="shared" si="360"/>
        <v>0.30555555555555558</v>
      </c>
      <c r="EU121" s="123">
        <f t="shared" si="361"/>
        <v>0.38461538461538464</v>
      </c>
      <c r="EV121" s="91">
        <f t="shared" si="362"/>
        <v>0.47826086956521741</v>
      </c>
      <c r="EW121" s="179">
        <f t="shared" si="363"/>
        <v>0.19444444444444445</v>
      </c>
      <c r="EX121" s="123">
        <f t="shared" si="364"/>
        <v>0.36842105263157893</v>
      </c>
      <c r="EY121" s="123">
        <f t="shared" si="365"/>
        <v>0.58823529411764708</v>
      </c>
      <c r="EZ121" s="123">
        <f t="shared" si="366"/>
        <v>0.50980392156862742</v>
      </c>
      <c r="FA121" s="179">
        <f t="shared" si="367"/>
        <v>0.5357142857142857</v>
      </c>
      <c r="FB121" s="123">
        <f t="shared" si="368"/>
        <v>0.35294117647058826</v>
      </c>
      <c r="FC121" s="123">
        <f t="shared" si="369"/>
        <v>0.23404255319148937</v>
      </c>
      <c r="FD121" s="91">
        <f t="shared" si="370"/>
        <v>0.24817518248175183</v>
      </c>
      <c r="FE121" s="179">
        <f t="shared" si="379"/>
        <v>0.21052631578947367</v>
      </c>
      <c r="FF121" s="123">
        <f t="shared" si="380"/>
        <v>0.66666666666666663</v>
      </c>
      <c r="FG121" s="123">
        <f t="shared" si="381"/>
        <v>1</v>
      </c>
      <c r="FH121" s="91">
        <f t="shared" si="382"/>
        <v>1</v>
      </c>
      <c r="FI121" s="179"/>
      <c r="FJ121" s="123"/>
      <c r="FK121" s="123"/>
      <c r="FL121" s="91"/>
      <c r="FM121" s="179"/>
      <c r="FN121" s="123"/>
      <c r="FO121" s="123"/>
      <c r="FP121" s="91"/>
    </row>
    <row r="122" spans="1:183">
      <c r="A122" s="21" t="s">
        <v>1329</v>
      </c>
      <c r="B122" s="76"/>
      <c r="M122" s="19"/>
      <c r="N122" s="22">
        <f t="shared" ref="N122:AO122" si="391">+N103</f>
        <v>0</v>
      </c>
      <c r="O122" s="22">
        <f t="shared" si="391"/>
        <v>0</v>
      </c>
      <c r="P122" s="22">
        <f t="shared" si="391"/>
        <v>0</v>
      </c>
      <c r="Q122" s="22">
        <f t="shared" si="391"/>
        <v>0</v>
      </c>
      <c r="R122" s="22">
        <f t="shared" si="391"/>
        <v>0</v>
      </c>
      <c r="S122" s="22">
        <f t="shared" si="391"/>
        <v>0</v>
      </c>
      <c r="T122" s="22">
        <f t="shared" si="391"/>
        <v>0</v>
      </c>
      <c r="U122" s="22">
        <f t="shared" si="391"/>
        <v>0</v>
      </c>
      <c r="V122" s="22">
        <f t="shared" si="391"/>
        <v>0</v>
      </c>
      <c r="W122" s="22">
        <f>+W103</f>
        <v>0</v>
      </c>
      <c r="X122" s="22">
        <f t="shared" si="391"/>
        <v>0</v>
      </c>
      <c r="Y122" s="22">
        <f t="shared" si="391"/>
        <v>1</v>
      </c>
      <c r="Z122" s="19">
        <f t="shared" si="391"/>
        <v>1</v>
      </c>
      <c r="AA122" s="22">
        <f t="shared" si="391"/>
        <v>0</v>
      </c>
      <c r="AB122" s="22">
        <f t="shared" si="391"/>
        <v>0</v>
      </c>
      <c r="AC122" s="22">
        <f t="shared" si="391"/>
        <v>0</v>
      </c>
      <c r="AD122" s="22">
        <f t="shared" si="391"/>
        <v>0</v>
      </c>
      <c r="AE122" s="22">
        <f t="shared" si="391"/>
        <v>0</v>
      </c>
      <c r="AF122" s="22">
        <f t="shared" si="391"/>
        <v>1</v>
      </c>
      <c r="AG122" s="22">
        <f t="shared" si="391"/>
        <v>1</v>
      </c>
      <c r="AH122" s="22">
        <f t="shared" si="391"/>
        <v>0</v>
      </c>
      <c r="AI122" s="22">
        <f t="shared" si="391"/>
        <v>0</v>
      </c>
      <c r="AJ122" s="22">
        <f t="shared" si="391"/>
        <v>2</v>
      </c>
      <c r="AK122" s="12">
        <f t="shared" si="391"/>
        <v>0</v>
      </c>
      <c r="AL122" s="22">
        <f t="shared" si="391"/>
        <v>0</v>
      </c>
      <c r="AM122" s="22">
        <f t="shared" si="391"/>
        <v>0</v>
      </c>
      <c r="AN122" s="22">
        <f t="shared" si="391"/>
        <v>2</v>
      </c>
      <c r="AO122" s="22">
        <f t="shared" si="391"/>
        <v>0</v>
      </c>
      <c r="AP122" s="22">
        <f t="shared" ref="AP122:AW122" si="392">+AP103</f>
        <v>0</v>
      </c>
      <c r="AQ122" s="22">
        <f t="shared" si="392"/>
        <v>0</v>
      </c>
      <c r="AR122" s="22">
        <f t="shared" si="392"/>
        <v>0</v>
      </c>
      <c r="AS122" s="22">
        <f t="shared" si="392"/>
        <v>0</v>
      </c>
      <c r="AT122" s="22">
        <f t="shared" si="392"/>
        <v>0</v>
      </c>
      <c r="AU122" s="22">
        <f t="shared" si="392"/>
        <v>0</v>
      </c>
      <c r="AV122" s="22">
        <f t="shared" si="392"/>
        <v>0</v>
      </c>
      <c r="AW122" s="22">
        <f t="shared" si="392"/>
        <v>1</v>
      </c>
      <c r="AX122" s="19">
        <f t="shared" ref="AX122:BI122" si="393">+AX103</f>
        <v>0</v>
      </c>
      <c r="AY122" s="22">
        <f t="shared" si="393"/>
        <v>0</v>
      </c>
      <c r="AZ122" s="22">
        <f t="shared" si="393"/>
        <v>1</v>
      </c>
      <c r="BA122" s="22">
        <f t="shared" si="393"/>
        <v>0</v>
      </c>
      <c r="BB122" s="22">
        <f t="shared" si="393"/>
        <v>0</v>
      </c>
      <c r="BC122" s="22">
        <f t="shared" si="393"/>
        <v>0</v>
      </c>
      <c r="BD122" s="22">
        <f t="shared" si="393"/>
        <v>1</v>
      </c>
      <c r="BE122" s="22">
        <f t="shared" si="393"/>
        <v>0</v>
      </c>
      <c r="BF122" s="22">
        <f t="shared" si="393"/>
        <v>0</v>
      </c>
      <c r="BG122" s="22">
        <f t="shared" si="393"/>
        <v>2</v>
      </c>
      <c r="BH122" s="22">
        <f t="shared" si="393"/>
        <v>0</v>
      </c>
      <c r="BI122" s="12">
        <f t="shared" si="393"/>
        <v>0</v>
      </c>
      <c r="BJ122" s="19">
        <f t="shared" ref="BJ122:BU122" si="394">+BJ103</f>
        <v>0</v>
      </c>
      <c r="BK122" s="22">
        <f t="shared" si="394"/>
        <v>0</v>
      </c>
      <c r="BL122" s="22">
        <f t="shared" si="394"/>
        <v>0</v>
      </c>
      <c r="BM122" s="22">
        <f t="shared" si="394"/>
        <v>2</v>
      </c>
      <c r="BN122" s="22">
        <f t="shared" si="394"/>
        <v>3</v>
      </c>
      <c r="BO122" s="22">
        <f t="shared" si="394"/>
        <v>0</v>
      </c>
      <c r="BP122" s="22">
        <f t="shared" si="394"/>
        <v>0</v>
      </c>
      <c r="BQ122" s="22">
        <f t="shared" si="394"/>
        <v>0</v>
      </c>
      <c r="BR122" s="22">
        <f t="shared" si="394"/>
        <v>0</v>
      </c>
      <c r="BS122" s="22">
        <f t="shared" si="394"/>
        <v>0</v>
      </c>
      <c r="BT122" s="22">
        <f t="shared" si="394"/>
        <v>0</v>
      </c>
      <c r="BU122" s="12">
        <f t="shared" si="394"/>
        <v>1</v>
      </c>
      <c r="BV122" s="22">
        <f t="shared" ref="BV122:CG122" si="395">+BV103</f>
        <v>0</v>
      </c>
      <c r="BW122" s="22">
        <f t="shared" si="395"/>
        <v>0</v>
      </c>
      <c r="BX122" s="22">
        <f t="shared" si="395"/>
        <v>1</v>
      </c>
      <c r="BY122" s="22">
        <f t="shared" si="395"/>
        <v>0</v>
      </c>
      <c r="BZ122" s="22">
        <f t="shared" si="395"/>
        <v>0</v>
      </c>
      <c r="CA122" s="22">
        <f t="shared" si="395"/>
        <v>0</v>
      </c>
      <c r="CB122" s="22">
        <f t="shared" si="395"/>
        <v>0</v>
      </c>
      <c r="CC122" s="22">
        <f t="shared" si="395"/>
        <v>0</v>
      </c>
      <c r="CD122" s="22">
        <f t="shared" si="395"/>
        <v>1</v>
      </c>
      <c r="CE122" s="22">
        <f t="shared" si="395"/>
        <v>0</v>
      </c>
      <c r="CF122" s="22">
        <f t="shared" si="395"/>
        <v>0</v>
      </c>
      <c r="CG122" s="22">
        <f t="shared" si="395"/>
        <v>1</v>
      </c>
      <c r="CH122" s="19">
        <f t="shared" ref="CH122:CS122" si="396">+CH103</f>
        <v>0</v>
      </c>
      <c r="CI122" s="22">
        <f t="shared" si="396"/>
        <v>0</v>
      </c>
      <c r="CJ122" s="22">
        <f t="shared" si="396"/>
        <v>1</v>
      </c>
      <c r="CK122" s="22">
        <f t="shared" si="396"/>
        <v>0</v>
      </c>
      <c r="CL122" s="22">
        <f t="shared" si="396"/>
        <v>0</v>
      </c>
      <c r="CM122" s="22">
        <f t="shared" si="396"/>
        <v>1</v>
      </c>
      <c r="CN122" s="22">
        <f t="shared" si="396"/>
        <v>3</v>
      </c>
      <c r="CO122" s="22">
        <f t="shared" si="396"/>
        <v>0</v>
      </c>
      <c r="CP122" s="22">
        <f t="shared" si="396"/>
        <v>0</v>
      </c>
      <c r="CQ122" s="22">
        <f t="shared" si="396"/>
        <v>1</v>
      </c>
      <c r="CR122" s="22">
        <f t="shared" si="396"/>
        <v>1</v>
      </c>
      <c r="CS122" s="12">
        <f t="shared" si="396"/>
        <v>0</v>
      </c>
      <c r="CT122" s="22">
        <f t="shared" ref="CT122:DE122" si="397">+CT103</f>
        <v>0</v>
      </c>
      <c r="CU122" s="22">
        <f t="shared" si="397"/>
        <v>0</v>
      </c>
      <c r="CV122" s="22">
        <f t="shared" si="397"/>
        <v>0</v>
      </c>
      <c r="CW122" s="22">
        <f t="shared" si="397"/>
        <v>0</v>
      </c>
      <c r="CX122" s="22">
        <f t="shared" si="397"/>
        <v>0</v>
      </c>
      <c r="CY122" s="22">
        <f t="shared" si="397"/>
        <v>0</v>
      </c>
      <c r="CZ122" s="22">
        <f t="shared" si="397"/>
        <v>0</v>
      </c>
      <c r="DA122" s="22">
        <f t="shared" si="397"/>
        <v>0</v>
      </c>
      <c r="DB122" s="22">
        <f t="shared" si="397"/>
        <v>0</v>
      </c>
      <c r="DC122" s="22">
        <f t="shared" si="397"/>
        <v>0</v>
      </c>
      <c r="DD122" s="22">
        <f t="shared" si="397"/>
        <v>0</v>
      </c>
      <c r="DE122" s="22">
        <f t="shared" si="397"/>
        <v>0</v>
      </c>
      <c r="DF122" s="19">
        <f t="shared" ref="DF122:DQ122" si="398">+DF103</f>
        <v>0</v>
      </c>
      <c r="DG122" s="22">
        <f t="shared" si="398"/>
        <v>0</v>
      </c>
      <c r="DH122" s="22">
        <f t="shared" si="398"/>
        <v>0</v>
      </c>
      <c r="DI122" s="22">
        <f t="shared" si="398"/>
        <v>0</v>
      </c>
      <c r="DJ122" s="22">
        <f t="shared" si="398"/>
        <v>0</v>
      </c>
      <c r="DK122" s="22">
        <f t="shared" si="398"/>
        <v>0</v>
      </c>
      <c r="DL122" s="22">
        <f t="shared" si="398"/>
        <v>0</v>
      </c>
      <c r="DM122" s="22">
        <f t="shared" si="398"/>
        <v>0</v>
      </c>
      <c r="DN122" s="22">
        <f t="shared" si="398"/>
        <v>0</v>
      </c>
      <c r="DO122" s="22">
        <f t="shared" si="398"/>
        <v>0</v>
      </c>
      <c r="DP122" s="22">
        <f t="shared" si="398"/>
        <v>0</v>
      </c>
      <c r="DQ122" s="12">
        <f t="shared" si="398"/>
        <v>0</v>
      </c>
      <c r="DR122" s="19">
        <f t="shared" ref="DR122:EC122" si="399">+DR103</f>
        <v>0</v>
      </c>
      <c r="DS122" s="22">
        <f t="shared" si="399"/>
        <v>0</v>
      </c>
      <c r="DT122" s="22">
        <f t="shared" si="399"/>
        <v>0</v>
      </c>
      <c r="DU122" s="22">
        <f t="shared" si="399"/>
        <v>0</v>
      </c>
      <c r="DV122" s="22">
        <f t="shared" si="399"/>
        <v>0</v>
      </c>
      <c r="DW122" s="22">
        <f t="shared" si="399"/>
        <v>0</v>
      </c>
      <c r="DX122" s="22">
        <f t="shared" si="399"/>
        <v>0</v>
      </c>
      <c r="DY122" s="22">
        <f t="shared" si="399"/>
        <v>0</v>
      </c>
      <c r="DZ122" s="22">
        <f t="shared" si="399"/>
        <v>0</v>
      </c>
      <c r="EA122" s="22">
        <f t="shared" si="399"/>
        <v>0</v>
      </c>
      <c r="EB122" s="22">
        <f t="shared" si="399"/>
        <v>0</v>
      </c>
      <c r="EC122" s="12">
        <f t="shared" si="399"/>
        <v>0</v>
      </c>
      <c r="ED122" s="6">
        <f>+ED103</f>
        <v>29</v>
      </c>
      <c r="EF122" s="162">
        <f t="shared" si="347"/>
        <v>4.3478260869565216E-2</v>
      </c>
      <c r="EG122" s="179">
        <f t="shared" si="348"/>
        <v>4.1666666666666664E-2</v>
      </c>
      <c r="EH122" s="123">
        <f t="shared" si="349"/>
        <v>0</v>
      </c>
      <c r="EI122" s="123">
        <f t="shared" si="350"/>
        <v>0.11764705882352941</v>
      </c>
      <c r="EJ122" s="91">
        <f t="shared" si="351"/>
        <v>0.08</v>
      </c>
      <c r="EK122" s="179">
        <f t="shared" si="352"/>
        <v>9.0909090909090912E-2</v>
      </c>
      <c r="EL122" s="123">
        <f t="shared" si="353"/>
        <v>0</v>
      </c>
      <c r="EM122" s="123">
        <f t="shared" si="354"/>
        <v>0</v>
      </c>
      <c r="EN122" s="91">
        <f>(AU122+AV122+AW122)/EN118</f>
        <v>7.1428571428571425E-2</v>
      </c>
      <c r="EO122" s="179">
        <f t="shared" si="355"/>
        <v>0.125</v>
      </c>
      <c r="EP122" s="123">
        <f t="shared" si="356"/>
        <v>0</v>
      </c>
      <c r="EQ122" s="123">
        <f t="shared" si="357"/>
        <v>2.3809523809523808E-2</v>
      </c>
      <c r="ER122" s="91">
        <f t="shared" si="358"/>
        <v>9.5238095238095233E-2</v>
      </c>
      <c r="ES122" s="179">
        <f t="shared" si="359"/>
        <v>0</v>
      </c>
      <c r="ET122" s="123">
        <f t="shared" si="360"/>
        <v>0.1388888888888889</v>
      </c>
      <c r="EU122" s="123">
        <f t="shared" si="361"/>
        <v>0</v>
      </c>
      <c r="EV122" s="91">
        <f t="shared" si="362"/>
        <v>4.3478260869565216E-2</v>
      </c>
      <c r="EW122" s="179">
        <f t="shared" si="363"/>
        <v>2.7777777777777776E-2</v>
      </c>
      <c r="EX122" s="123">
        <f t="shared" si="364"/>
        <v>0</v>
      </c>
      <c r="EY122" s="123">
        <f t="shared" si="365"/>
        <v>2.9411764705882353E-2</v>
      </c>
      <c r="EZ122" s="123">
        <f t="shared" si="366"/>
        <v>1.9607843137254902E-2</v>
      </c>
      <c r="FA122" s="179">
        <f t="shared" si="367"/>
        <v>3.5714285714285712E-2</v>
      </c>
      <c r="FB122" s="123">
        <f t="shared" si="368"/>
        <v>5.8823529411764705E-2</v>
      </c>
      <c r="FC122" s="123">
        <f t="shared" si="369"/>
        <v>6.3829787234042548E-2</v>
      </c>
      <c r="FD122" s="91">
        <f t="shared" si="370"/>
        <v>1.4598540145985401E-2</v>
      </c>
      <c r="FE122" s="179">
        <f t="shared" si="379"/>
        <v>0</v>
      </c>
      <c r="FF122" s="123">
        <f t="shared" si="380"/>
        <v>0</v>
      </c>
      <c r="FG122" s="123">
        <f t="shared" si="381"/>
        <v>0</v>
      </c>
      <c r="FH122" s="91">
        <f t="shared" si="382"/>
        <v>0</v>
      </c>
      <c r="FI122" s="179"/>
      <c r="FJ122" s="123"/>
      <c r="FK122" s="123"/>
      <c r="FL122" s="91"/>
      <c r="FM122" s="179"/>
      <c r="FN122" s="123"/>
      <c r="FO122" s="123"/>
      <c r="FP122" s="91"/>
    </row>
    <row r="123" spans="1:183">
      <c r="A123" s="19" t="s">
        <v>723</v>
      </c>
      <c r="B123" s="76"/>
      <c r="M123" s="19"/>
      <c r="N123" s="22">
        <f t="shared" ref="N123:AS123" si="400">+N106+N111+N112</f>
        <v>0</v>
      </c>
      <c r="O123" s="22">
        <f t="shared" si="400"/>
        <v>0</v>
      </c>
      <c r="P123" s="22">
        <f t="shared" si="400"/>
        <v>0</v>
      </c>
      <c r="Q123" s="22">
        <f t="shared" si="400"/>
        <v>0</v>
      </c>
      <c r="R123" s="22">
        <f t="shared" si="400"/>
        <v>0</v>
      </c>
      <c r="S123" s="22">
        <f t="shared" si="400"/>
        <v>0</v>
      </c>
      <c r="T123" s="22">
        <f t="shared" si="400"/>
        <v>0</v>
      </c>
      <c r="U123" s="22">
        <f t="shared" si="400"/>
        <v>0</v>
      </c>
      <c r="V123" s="22">
        <f t="shared" si="400"/>
        <v>0</v>
      </c>
      <c r="W123" s="22">
        <f>+W106+W111+W112</f>
        <v>0</v>
      </c>
      <c r="X123" s="22">
        <f t="shared" si="400"/>
        <v>0</v>
      </c>
      <c r="Y123" s="22">
        <f t="shared" si="400"/>
        <v>0</v>
      </c>
      <c r="Z123" s="19">
        <f t="shared" si="400"/>
        <v>0</v>
      </c>
      <c r="AA123" s="22">
        <f t="shared" si="400"/>
        <v>0</v>
      </c>
      <c r="AB123" s="22">
        <f t="shared" si="400"/>
        <v>0</v>
      </c>
      <c r="AC123" s="22">
        <f t="shared" si="400"/>
        <v>0</v>
      </c>
      <c r="AD123" s="22">
        <f t="shared" si="400"/>
        <v>0</v>
      </c>
      <c r="AE123" s="22">
        <f t="shared" si="400"/>
        <v>0</v>
      </c>
      <c r="AF123" s="22">
        <f t="shared" si="400"/>
        <v>2</v>
      </c>
      <c r="AG123" s="22">
        <f t="shared" si="400"/>
        <v>0</v>
      </c>
      <c r="AH123" s="22">
        <f t="shared" si="400"/>
        <v>0</v>
      </c>
      <c r="AI123" s="22">
        <f t="shared" si="400"/>
        <v>2</v>
      </c>
      <c r="AJ123" s="22">
        <f t="shared" si="400"/>
        <v>1</v>
      </c>
      <c r="AK123" s="12">
        <f t="shared" si="400"/>
        <v>0</v>
      </c>
      <c r="AL123" s="22">
        <f t="shared" si="400"/>
        <v>2</v>
      </c>
      <c r="AM123" s="22">
        <f t="shared" si="400"/>
        <v>1</v>
      </c>
      <c r="AN123" s="22">
        <f t="shared" si="400"/>
        <v>3</v>
      </c>
      <c r="AO123" s="22">
        <f t="shared" si="400"/>
        <v>2</v>
      </c>
      <c r="AP123" s="22">
        <f t="shared" si="400"/>
        <v>1</v>
      </c>
      <c r="AQ123" s="22">
        <f t="shared" si="400"/>
        <v>1</v>
      </c>
      <c r="AR123" s="22">
        <f t="shared" si="400"/>
        <v>1</v>
      </c>
      <c r="AS123" s="22">
        <f t="shared" si="400"/>
        <v>1</v>
      </c>
      <c r="AT123" s="22">
        <f t="shared" ref="AT123:BI123" si="401">+AT106+AT111+AT112</f>
        <v>3</v>
      </c>
      <c r="AU123" s="22">
        <f t="shared" si="401"/>
        <v>0</v>
      </c>
      <c r="AV123" s="22">
        <f t="shared" si="401"/>
        <v>1</v>
      </c>
      <c r="AW123" s="22">
        <f t="shared" si="401"/>
        <v>1</v>
      </c>
      <c r="AX123" s="19">
        <f t="shared" si="401"/>
        <v>0</v>
      </c>
      <c r="AY123" s="22">
        <f t="shared" si="401"/>
        <v>1</v>
      </c>
      <c r="AZ123" s="22">
        <f t="shared" si="401"/>
        <v>0</v>
      </c>
      <c r="BA123" s="22">
        <f t="shared" si="401"/>
        <v>0</v>
      </c>
      <c r="BB123" s="22">
        <f t="shared" si="401"/>
        <v>0</v>
      </c>
      <c r="BC123" s="22">
        <f t="shared" si="401"/>
        <v>1</v>
      </c>
      <c r="BD123" s="22">
        <f t="shared" si="401"/>
        <v>1</v>
      </c>
      <c r="BE123" s="22">
        <f t="shared" si="401"/>
        <v>2</v>
      </c>
      <c r="BF123" s="22">
        <f t="shared" si="401"/>
        <v>0</v>
      </c>
      <c r="BG123" s="22">
        <f t="shared" si="401"/>
        <v>0</v>
      </c>
      <c r="BH123" s="22">
        <f t="shared" si="401"/>
        <v>0</v>
      </c>
      <c r="BI123" s="12">
        <f t="shared" si="401"/>
        <v>1</v>
      </c>
      <c r="BJ123" s="19">
        <f t="shared" ref="BJ123:BU123" si="402">+BJ106+BJ111+BJ112</f>
        <v>0</v>
      </c>
      <c r="BK123" s="22">
        <f t="shared" si="402"/>
        <v>3</v>
      </c>
      <c r="BL123" s="22">
        <f t="shared" si="402"/>
        <v>0</v>
      </c>
      <c r="BM123" s="22">
        <f t="shared" si="402"/>
        <v>0</v>
      </c>
      <c r="BN123" s="22">
        <f t="shared" si="402"/>
        <v>5</v>
      </c>
      <c r="BO123" s="22">
        <f t="shared" si="402"/>
        <v>3</v>
      </c>
      <c r="BP123" s="22">
        <f t="shared" si="402"/>
        <v>4</v>
      </c>
      <c r="BQ123" s="22">
        <f t="shared" si="402"/>
        <v>2</v>
      </c>
      <c r="BR123" s="22">
        <f t="shared" si="402"/>
        <v>4</v>
      </c>
      <c r="BS123" s="22">
        <f t="shared" si="402"/>
        <v>0</v>
      </c>
      <c r="BT123" s="22">
        <f t="shared" si="402"/>
        <v>1</v>
      </c>
      <c r="BU123" s="12">
        <f t="shared" si="402"/>
        <v>0</v>
      </c>
      <c r="BV123" s="22">
        <f t="shared" ref="BV123:CG123" si="403">+BV106+BV111+BV112</f>
        <v>2</v>
      </c>
      <c r="BW123" s="22">
        <f t="shared" si="403"/>
        <v>1</v>
      </c>
      <c r="BX123" s="22">
        <f t="shared" si="403"/>
        <v>1</v>
      </c>
      <c r="BY123" s="22">
        <f t="shared" si="403"/>
        <v>1</v>
      </c>
      <c r="BZ123" s="22">
        <f t="shared" si="403"/>
        <v>0</v>
      </c>
      <c r="CA123" s="22">
        <f t="shared" si="403"/>
        <v>0</v>
      </c>
      <c r="CB123" s="22">
        <f t="shared" si="403"/>
        <v>0</v>
      </c>
      <c r="CC123" s="22">
        <f t="shared" si="403"/>
        <v>0</v>
      </c>
      <c r="CD123" s="22">
        <f t="shared" si="403"/>
        <v>1</v>
      </c>
      <c r="CE123" s="22">
        <f t="shared" si="403"/>
        <v>0</v>
      </c>
      <c r="CF123" s="22">
        <f t="shared" si="403"/>
        <v>1</v>
      </c>
      <c r="CG123" s="22">
        <f t="shared" si="403"/>
        <v>0</v>
      </c>
      <c r="CH123" s="19">
        <f t="shared" ref="CH123:CS123" si="404">+CH106+CH111+CH112</f>
        <v>0</v>
      </c>
      <c r="CI123" s="22">
        <f t="shared" si="404"/>
        <v>0</v>
      </c>
      <c r="CJ123" s="22">
        <f t="shared" si="404"/>
        <v>1</v>
      </c>
      <c r="CK123" s="22">
        <f t="shared" si="404"/>
        <v>2</v>
      </c>
      <c r="CL123" s="22">
        <f t="shared" si="404"/>
        <v>0</v>
      </c>
      <c r="CM123" s="22">
        <f t="shared" si="404"/>
        <v>0</v>
      </c>
      <c r="CN123" s="22">
        <f t="shared" si="404"/>
        <v>4</v>
      </c>
      <c r="CO123" s="22">
        <f t="shared" si="404"/>
        <v>2</v>
      </c>
      <c r="CP123" s="22">
        <f t="shared" si="404"/>
        <v>0</v>
      </c>
      <c r="CQ123" s="22">
        <f t="shared" si="404"/>
        <v>0</v>
      </c>
      <c r="CR123" s="22">
        <f t="shared" si="404"/>
        <v>0</v>
      </c>
      <c r="CS123" s="12">
        <f t="shared" si="404"/>
        <v>0</v>
      </c>
      <c r="CT123" s="22">
        <f t="shared" ref="CT123:DE123" si="405">+CT106+CT111+CT112</f>
        <v>0</v>
      </c>
      <c r="CU123" s="22">
        <f t="shared" si="405"/>
        <v>1</v>
      </c>
      <c r="CV123" s="22">
        <f t="shared" si="405"/>
        <v>0</v>
      </c>
      <c r="CW123" s="22">
        <f t="shared" si="405"/>
        <v>0</v>
      </c>
      <c r="CX123" s="22">
        <f t="shared" si="405"/>
        <v>0</v>
      </c>
      <c r="CY123" s="22">
        <f t="shared" si="405"/>
        <v>0</v>
      </c>
      <c r="CZ123" s="22">
        <f t="shared" si="405"/>
        <v>0</v>
      </c>
      <c r="DA123" s="22">
        <f t="shared" si="405"/>
        <v>0</v>
      </c>
      <c r="DB123" s="22">
        <f t="shared" si="405"/>
        <v>0</v>
      </c>
      <c r="DC123" s="22">
        <f t="shared" si="405"/>
        <v>0</v>
      </c>
      <c r="DD123" s="22">
        <f t="shared" si="405"/>
        <v>0</v>
      </c>
      <c r="DE123" s="22">
        <f t="shared" si="405"/>
        <v>0</v>
      </c>
      <c r="DF123" s="19">
        <f t="shared" ref="DF123:DQ123" si="406">+DF106+DF111+DF112</f>
        <v>0</v>
      </c>
      <c r="DG123" s="22">
        <f t="shared" si="406"/>
        <v>0</v>
      </c>
      <c r="DH123" s="22">
        <f t="shared" si="406"/>
        <v>0</v>
      </c>
      <c r="DI123" s="22">
        <f t="shared" si="406"/>
        <v>0</v>
      </c>
      <c r="DJ123" s="22">
        <f t="shared" si="406"/>
        <v>0</v>
      </c>
      <c r="DK123" s="22">
        <f t="shared" si="406"/>
        <v>0</v>
      </c>
      <c r="DL123" s="22">
        <f t="shared" si="406"/>
        <v>0</v>
      </c>
      <c r="DM123" s="22">
        <f t="shared" si="406"/>
        <v>0</v>
      </c>
      <c r="DN123" s="22">
        <f t="shared" si="406"/>
        <v>0</v>
      </c>
      <c r="DO123" s="22">
        <f t="shared" si="406"/>
        <v>0</v>
      </c>
      <c r="DP123" s="22">
        <f t="shared" si="406"/>
        <v>0</v>
      </c>
      <c r="DQ123" s="12">
        <f t="shared" si="406"/>
        <v>0</v>
      </c>
      <c r="DR123" s="19">
        <f t="shared" ref="DR123:EC123" si="407">+DR106+DR111+DR112</f>
        <v>0</v>
      </c>
      <c r="DS123" s="22">
        <f t="shared" si="407"/>
        <v>0</v>
      </c>
      <c r="DT123" s="22">
        <f t="shared" si="407"/>
        <v>0</v>
      </c>
      <c r="DU123" s="22">
        <f t="shared" si="407"/>
        <v>0</v>
      </c>
      <c r="DV123" s="22">
        <f t="shared" si="407"/>
        <v>0</v>
      </c>
      <c r="DW123" s="22">
        <f t="shared" si="407"/>
        <v>0</v>
      </c>
      <c r="DX123" s="22">
        <f t="shared" si="407"/>
        <v>0</v>
      </c>
      <c r="DY123" s="22">
        <f t="shared" si="407"/>
        <v>0</v>
      </c>
      <c r="DZ123" s="22">
        <f t="shared" si="407"/>
        <v>0</v>
      </c>
      <c r="EA123" s="22">
        <f t="shared" si="407"/>
        <v>0</v>
      </c>
      <c r="EB123" s="22">
        <f t="shared" si="407"/>
        <v>0</v>
      </c>
      <c r="EC123" s="12">
        <f t="shared" si="407"/>
        <v>0</v>
      </c>
      <c r="ED123" s="6">
        <f>+ED106+ED111+ED112</f>
        <v>67</v>
      </c>
      <c r="EF123" s="162">
        <f t="shared" si="347"/>
        <v>0</v>
      </c>
      <c r="EG123" s="179">
        <f t="shared" si="348"/>
        <v>0</v>
      </c>
      <c r="EH123" s="123">
        <f t="shared" si="349"/>
        <v>0</v>
      </c>
      <c r="EI123" s="123">
        <f t="shared" si="350"/>
        <v>0.11764705882352941</v>
      </c>
      <c r="EJ123" s="91">
        <f t="shared" si="351"/>
        <v>0.12</v>
      </c>
      <c r="EK123" s="179">
        <f t="shared" si="352"/>
        <v>0.27272727272727271</v>
      </c>
      <c r="EL123" s="123">
        <f t="shared" si="353"/>
        <v>0.21052631578947367</v>
      </c>
      <c r="EM123" s="123">
        <f t="shared" si="354"/>
        <v>0.19230769230769232</v>
      </c>
      <c r="EN123" s="91">
        <f>(AU123+AV123+AW123)/EN118</f>
        <v>0.14285714285714285</v>
      </c>
      <c r="EO123" s="179">
        <f t="shared" si="355"/>
        <v>0.125</v>
      </c>
      <c r="EP123" s="123">
        <f t="shared" si="356"/>
        <v>0.1111111111111111</v>
      </c>
      <c r="EQ123" s="123">
        <f t="shared" si="357"/>
        <v>7.1428571428571425E-2</v>
      </c>
      <c r="ER123" s="91">
        <f t="shared" si="358"/>
        <v>4.7619047619047616E-2</v>
      </c>
      <c r="ES123" s="179">
        <f t="shared" si="359"/>
        <v>7.1428571428571425E-2</v>
      </c>
      <c r="ET123" s="123">
        <f t="shared" si="360"/>
        <v>0.22222222222222221</v>
      </c>
      <c r="EU123" s="123">
        <f t="shared" si="361"/>
        <v>0.38461538461538464</v>
      </c>
      <c r="EV123" s="91">
        <f t="shared" si="362"/>
        <v>4.3478260869565216E-2</v>
      </c>
      <c r="EW123" s="179">
        <f t="shared" si="363"/>
        <v>0.1111111111111111</v>
      </c>
      <c r="EX123" s="123">
        <f t="shared" si="364"/>
        <v>5.2631578947368418E-2</v>
      </c>
      <c r="EY123" s="123">
        <f t="shared" si="365"/>
        <v>2.9411764705882353E-2</v>
      </c>
      <c r="EZ123" s="123">
        <f t="shared" si="366"/>
        <v>1.9607843137254902E-2</v>
      </c>
      <c r="FA123" s="179">
        <f t="shared" si="367"/>
        <v>3.5714285714285712E-2</v>
      </c>
      <c r="FB123" s="123">
        <f t="shared" si="368"/>
        <v>0.11764705882352941</v>
      </c>
      <c r="FC123" s="123">
        <f t="shared" si="369"/>
        <v>0.1276595744680851</v>
      </c>
      <c r="FD123" s="91">
        <f t="shared" si="370"/>
        <v>0</v>
      </c>
      <c r="FE123" s="179">
        <f t="shared" si="379"/>
        <v>5.2631578947368418E-2</v>
      </c>
      <c r="FF123" s="123">
        <f t="shared" si="380"/>
        <v>0</v>
      </c>
      <c r="FG123" s="123">
        <f t="shared" si="381"/>
        <v>0</v>
      </c>
      <c r="FH123" s="91">
        <f t="shared" si="382"/>
        <v>0</v>
      </c>
      <c r="FI123" s="179"/>
      <c r="FJ123" s="123"/>
      <c r="FK123" s="123"/>
      <c r="FL123" s="91"/>
      <c r="FM123" s="179"/>
      <c r="FN123" s="123"/>
      <c r="FO123" s="123"/>
      <c r="FP123" s="91"/>
    </row>
    <row r="124" spans="1:183">
      <c r="A124" s="964" t="s">
        <v>4047</v>
      </c>
      <c r="B124" s="115"/>
      <c r="M124" s="20"/>
      <c r="N124" s="24">
        <f>+N90+N92+N113</f>
        <v>0</v>
      </c>
      <c r="O124" s="24">
        <f t="shared" ref="O124:BZ124" si="408">+O90+O92+O113</f>
        <v>0</v>
      </c>
      <c r="P124" s="24">
        <f t="shared" si="408"/>
        <v>0</v>
      </c>
      <c r="Q124" s="24">
        <f t="shared" si="408"/>
        <v>0</v>
      </c>
      <c r="R124" s="24">
        <f t="shared" si="408"/>
        <v>0</v>
      </c>
      <c r="S124" s="24">
        <f t="shared" si="408"/>
        <v>0</v>
      </c>
      <c r="T124" s="24">
        <f t="shared" si="408"/>
        <v>0</v>
      </c>
      <c r="U124" s="24">
        <f t="shared" si="408"/>
        <v>0</v>
      </c>
      <c r="V124" s="24">
        <f t="shared" si="408"/>
        <v>0</v>
      </c>
      <c r="W124" s="24">
        <f t="shared" si="408"/>
        <v>0</v>
      </c>
      <c r="X124" s="24">
        <f t="shared" si="408"/>
        <v>0</v>
      </c>
      <c r="Y124" s="24">
        <f t="shared" si="408"/>
        <v>0</v>
      </c>
      <c r="Z124" s="20">
        <f t="shared" si="408"/>
        <v>0</v>
      </c>
      <c r="AA124" s="24">
        <f t="shared" si="408"/>
        <v>0</v>
      </c>
      <c r="AB124" s="24">
        <f t="shared" si="408"/>
        <v>0</v>
      </c>
      <c r="AC124" s="24">
        <f t="shared" si="408"/>
        <v>0</v>
      </c>
      <c r="AD124" s="24">
        <f t="shared" si="408"/>
        <v>0</v>
      </c>
      <c r="AE124" s="24">
        <f t="shared" si="408"/>
        <v>0</v>
      </c>
      <c r="AF124" s="24">
        <f t="shared" si="408"/>
        <v>0</v>
      </c>
      <c r="AG124" s="24">
        <f t="shared" si="408"/>
        <v>0</v>
      </c>
      <c r="AH124" s="24">
        <f t="shared" si="408"/>
        <v>0</v>
      </c>
      <c r="AI124" s="24">
        <f t="shared" si="408"/>
        <v>0</v>
      </c>
      <c r="AJ124" s="24">
        <f t="shared" si="408"/>
        <v>0</v>
      </c>
      <c r="AK124" s="13">
        <f t="shared" si="408"/>
        <v>0</v>
      </c>
      <c r="AL124" s="24">
        <f t="shared" si="408"/>
        <v>0</v>
      </c>
      <c r="AM124" s="24">
        <f t="shared" si="408"/>
        <v>0</v>
      </c>
      <c r="AN124" s="24">
        <f t="shared" si="408"/>
        <v>0</v>
      </c>
      <c r="AO124" s="24">
        <f t="shared" si="408"/>
        <v>0</v>
      </c>
      <c r="AP124" s="24">
        <f t="shared" si="408"/>
        <v>0</v>
      </c>
      <c r="AQ124" s="24">
        <f t="shared" si="408"/>
        <v>0</v>
      </c>
      <c r="AR124" s="24">
        <f t="shared" si="408"/>
        <v>0</v>
      </c>
      <c r="AS124" s="24">
        <f t="shared" si="408"/>
        <v>0</v>
      </c>
      <c r="AT124" s="24">
        <f t="shared" si="408"/>
        <v>0</v>
      </c>
      <c r="AU124" s="24">
        <f t="shared" si="408"/>
        <v>0</v>
      </c>
      <c r="AV124" s="24">
        <f t="shared" si="408"/>
        <v>0</v>
      </c>
      <c r="AW124" s="24">
        <f t="shared" si="408"/>
        <v>0</v>
      </c>
      <c r="AX124" s="20">
        <f t="shared" si="408"/>
        <v>0</v>
      </c>
      <c r="AY124" s="24">
        <f t="shared" si="408"/>
        <v>0</v>
      </c>
      <c r="AZ124" s="24">
        <f t="shared" si="408"/>
        <v>0</v>
      </c>
      <c r="BA124" s="24">
        <f t="shared" si="408"/>
        <v>0</v>
      </c>
      <c r="BB124" s="24">
        <f t="shared" si="408"/>
        <v>0</v>
      </c>
      <c r="BC124" s="24">
        <f t="shared" si="408"/>
        <v>0</v>
      </c>
      <c r="BD124" s="24">
        <f t="shared" si="408"/>
        <v>0</v>
      </c>
      <c r="BE124" s="24">
        <f t="shared" si="408"/>
        <v>0</v>
      </c>
      <c r="BF124" s="24">
        <f t="shared" si="408"/>
        <v>1</v>
      </c>
      <c r="BG124" s="24">
        <f t="shared" si="408"/>
        <v>0</v>
      </c>
      <c r="BH124" s="24">
        <f t="shared" si="408"/>
        <v>0</v>
      </c>
      <c r="BI124" s="13">
        <f t="shared" si="408"/>
        <v>0</v>
      </c>
      <c r="BJ124" s="20">
        <f t="shared" si="408"/>
        <v>0</v>
      </c>
      <c r="BK124" s="24">
        <f t="shared" si="408"/>
        <v>0</v>
      </c>
      <c r="BL124" s="24">
        <f t="shared" si="408"/>
        <v>0</v>
      </c>
      <c r="BM124" s="24">
        <f t="shared" si="408"/>
        <v>0</v>
      </c>
      <c r="BN124" s="24">
        <f t="shared" si="408"/>
        <v>0</v>
      </c>
      <c r="BO124" s="24">
        <f t="shared" si="408"/>
        <v>0</v>
      </c>
      <c r="BP124" s="24">
        <f t="shared" si="408"/>
        <v>0</v>
      </c>
      <c r="BQ124" s="24">
        <f t="shared" si="408"/>
        <v>0</v>
      </c>
      <c r="BR124" s="24">
        <f t="shared" si="408"/>
        <v>0</v>
      </c>
      <c r="BS124" s="24">
        <f t="shared" si="408"/>
        <v>0</v>
      </c>
      <c r="BT124" s="24">
        <f t="shared" si="408"/>
        <v>0</v>
      </c>
      <c r="BU124" s="13">
        <f t="shared" si="408"/>
        <v>0</v>
      </c>
      <c r="BV124" s="24">
        <f t="shared" si="408"/>
        <v>0</v>
      </c>
      <c r="BW124" s="24">
        <f t="shared" si="408"/>
        <v>0</v>
      </c>
      <c r="BX124" s="24">
        <f t="shared" si="408"/>
        <v>0</v>
      </c>
      <c r="BY124" s="24">
        <f t="shared" si="408"/>
        <v>0</v>
      </c>
      <c r="BZ124" s="24">
        <f t="shared" si="408"/>
        <v>0</v>
      </c>
      <c r="CA124" s="24">
        <f t="shared" ref="CA124:ED124" si="409">+CA90+CA92+CA113</f>
        <v>0</v>
      </c>
      <c r="CB124" s="24">
        <f t="shared" si="409"/>
        <v>0</v>
      </c>
      <c r="CC124" s="24">
        <f t="shared" si="409"/>
        <v>0</v>
      </c>
      <c r="CD124" s="24">
        <f t="shared" si="409"/>
        <v>0</v>
      </c>
      <c r="CE124" s="24">
        <f t="shared" si="409"/>
        <v>0</v>
      </c>
      <c r="CF124" s="24">
        <f t="shared" si="409"/>
        <v>0</v>
      </c>
      <c r="CG124" s="24">
        <f t="shared" si="409"/>
        <v>0</v>
      </c>
      <c r="CH124" s="20">
        <f t="shared" si="409"/>
        <v>1</v>
      </c>
      <c r="CI124" s="24">
        <f t="shared" si="409"/>
        <v>0</v>
      </c>
      <c r="CJ124" s="24">
        <f t="shared" si="409"/>
        <v>0</v>
      </c>
      <c r="CK124" s="24">
        <f t="shared" si="409"/>
        <v>0</v>
      </c>
      <c r="CL124" s="24">
        <f t="shared" si="409"/>
        <v>0</v>
      </c>
      <c r="CM124" s="24">
        <f t="shared" si="409"/>
        <v>0</v>
      </c>
      <c r="CN124" s="24">
        <f t="shared" si="409"/>
        <v>1</v>
      </c>
      <c r="CO124" s="24">
        <f t="shared" si="409"/>
        <v>0</v>
      </c>
      <c r="CP124" s="24">
        <f t="shared" si="409"/>
        <v>0</v>
      </c>
      <c r="CQ124" s="24">
        <f t="shared" si="409"/>
        <v>0</v>
      </c>
      <c r="CR124" s="24">
        <f t="shared" si="409"/>
        <v>0</v>
      </c>
      <c r="CS124" s="13">
        <f t="shared" si="409"/>
        <v>0</v>
      </c>
      <c r="CT124" s="24">
        <f t="shared" si="409"/>
        <v>0</v>
      </c>
      <c r="CU124" s="24">
        <f t="shared" si="409"/>
        <v>0</v>
      </c>
      <c r="CV124" s="24">
        <f t="shared" si="409"/>
        <v>0</v>
      </c>
      <c r="CW124" s="24">
        <f t="shared" si="409"/>
        <v>0</v>
      </c>
      <c r="CX124" s="24">
        <f t="shared" si="409"/>
        <v>0</v>
      </c>
      <c r="CY124" s="24">
        <f t="shared" si="409"/>
        <v>0</v>
      </c>
      <c r="CZ124" s="24">
        <f t="shared" si="409"/>
        <v>0</v>
      </c>
      <c r="DA124" s="24">
        <f t="shared" si="409"/>
        <v>0</v>
      </c>
      <c r="DB124" s="24">
        <f t="shared" si="409"/>
        <v>0</v>
      </c>
      <c r="DC124" s="24">
        <f t="shared" si="409"/>
        <v>0</v>
      </c>
      <c r="DD124" s="24">
        <f t="shared" si="409"/>
        <v>0</v>
      </c>
      <c r="DE124" s="24">
        <f t="shared" si="409"/>
        <v>0</v>
      </c>
      <c r="DF124" s="20">
        <f t="shared" ref="DF124:DQ124" si="410">+DF90+DF92+DF113</f>
        <v>0</v>
      </c>
      <c r="DG124" s="24">
        <f t="shared" si="410"/>
        <v>0</v>
      </c>
      <c r="DH124" s="24">
        <f t="shared" si="410"/>
        <v>0</v>
      </c>
      <c r="DI124" s="24">
        <f t="shared" si="410"/>
        <v>0</v>
      </c>
      <c r="DJ124" s="24">
        <f t="shared" si="410"/>
        <v>0</v>
      </c>
      <c r="DK124" s="24">
        <f t="shared" si="410"/>
        <v>0</v>
      </c>
      <c r="DL124" s="24">
        <f t="shared" si="410"/>
        <v>0</v>
      </c>
      <c r="DM124" s="24">
        <f t="shared" si="410"/>
        <v>0</v>
      </c>
      <c r="DN124" s="24">
        <f t="shared" si="410"/>
        <v>0</v>
      </c>
      <c r="DO124" s="24">
        <f t="shared" si="410"/>
        <v>0</v>
      </c>
      <c r="DP124" s="24">
        <f t="shared" si="410"/>
        <v>0</v>
      </c>
      <c r="DQ124" s="13">
        <f t="shared" si="410"/>
        <v>0</v>
      </c>
      <c r="DR124" s="20">
        <f t="shared" ref="DR124:EC124" si="411">+DR90+DR92+DR113</f>
        <v>0</v>
      </c>
      <c r="DS124" s="24">
        <f t="shared" si="411"/>
        <v>0</v>
      </c>
      <c r="DT124" s="24">
        <f t="shared" si="411"/>
        <v>0</v>
      </c>
      <c r="DU124" s="24">
        <f t="shared" si="411"/>
        <v>0</v>
      </c>
      <c r="DV124" s="24">
        <f t="shared" si="411"/>
        <v>0</v>
      </c>
      <c r="DW124" s="24">
        <f t="shared" si="411"/>
        <v>0</v>
      </c>
      <c r="DX124" s="24">
        <f t="shared" si="411"/>
        <v>0</v>
      </c>
      <c r="DY124" s="24">
        <f t="shared" si="411"/>
        <v>0</v>
      </c>
      <c r="DZ124" s="24">
        <f t="shared" si="411"/>
        <v>0</v>
      </c>
      <c r="EA124" s="24">
        <f t="shared" si="411"/>
        <v>0</v>
      </c>
      <c r="EB124" s="24">
        <f t="shared" si="411"/>
        <v>0</v>
      </c>
      <c r="EC124" s="13">
        <f t="shared" si="411"/>
        <v>0</v>
      </c>
      <c r="ED124" s="7">
        <f t="shared" si="409"/>
        <v>3</v>
      </c>
      <c r="EF124" s="163">
        <f t="shared" si="347"/>
        <v>0</v>
      </c>
      <c r="EG124" s="180">
        <f t="shared" si="348"/>
        <v>0</v>
      </c>
      <c r="EH124" s="143">
        <f t="shared" si="349"/>
        <v>0</v>
      </c>
      <c r="EI124" s="143">
        <f t="shared" si="350"/>
        <v>0</v>
      </c>
      <c r="EJ124" s="27">
        <f t="shared" si="351"/>
        <v>0</v>
      </c>
      <c r="EK124" s="180">
        <f t="shared" si="352"/>
        <v>0</v>
      </c>
      <c r="EL124" s="143">
        <f t="shared" si="353"/>
        <v>0</v>
      </c>
      <c r="EM124" s="143">
        <f t="shared" si="354"/>
        <v>0</v>
      </c>
      <c r="EN124" s="27">
        <f>(AU124+AV124+AW124)/EN118</f>
        <v>0</v>
      </c>
      <c r="EO124" s="180">
        <f t="shared" si="355"/>
        <v>0</v>
      </c>
      <c r="EP124" s="143">
        <f t="shared" si="356"/>
        <v>0</v>
      </c>
      <c r="EQ124" s="143">
        <f t="shared" si="357"/>
        <v>2.3809523809523808E-2</v>
      </c>
      <c r="ER124" s="27">
        <f t="shared" si="358"/>
        <v>0</v>
      </c>
      <c r="ES124" s="180">
        <f t="shared" si="359"/>
        <v>0</v>
      </c>
      <c r="ET124" s="143">
        <f t="shared" si="360"/>
        <v>0</v>
      </c>
      <c r="EU124" s="143">
        <f t="shared" si="361"/>
        <v>0</v>
      </c>
      <c r="EV124" s="27">
        <f t="shared" si="362"/>
        <v>0</v>
      </c>
      <c r="EW124" s="180">
        <f t="shared" si="363"/>
        <v>0</v>
      </c>
      <c r="EX124" s="143">
        <f t="shared" si="364"/>
        <v>0</v>
      </c>
      <c r="EY124" s="143">
        <f t="shared" si="365"/>
        <v>0</v>
      </c>
      <c r="EZ124" s="143">
        <f t="shared" si="366"/>
        <v>0</v>
      </c>
      <c r="FA124" s="180">
        <f t="shared" si="367"/>
        <v>3.5714285714285712E-2</v>
      </c>
      <c r="FB124" s="143">
        <f t="shared" si="368"/>
        <v>0</v>
      </c>
      <c r="FC124" s="143">
        <f t="shared" si="369"/>
        <v>2.1276595744680851E-2</v>
      </c>
      <c r="FD124" s="27">
        <f t="shared" si="370"/>
        <v>0</v>
      </c>
      <c r="FE124" s="180">
        <f t="shared" si="379"/>
        <v>0</v>
      </c>
      <c r="FF124" s="143">
        <f t="shared" si="380"/>
        <v>0</v>
      </c>
      <c r="FG124" s="143">
        <f t="shared" si="381"/>
        <v>0</v>
      </c>
      <c r="FH124" s="27">
        <f t="shared" si="382"/>
        <v>0</v>
      </c>
      <c r="FI124" s="180"/>
      <c r="FJ124" s="143"/>
      <c r="FK124" s="143"/>
      <c r="FL124" s="27"/>
      <c r="FM124" s="180"/>
      <c r="FN124" s="143"/>
      <c r="FO124" s="143"/>
      <c r="FP124" s="27"/>
    </row>
    <row r="125" spans="1:183">
      <c r="EF125" s="30"/>
      <c r="EG125" s="30"/>
      <c r="EH125" s="30"/>
      <c r="EI125" s="30"/>
      <c r="EJ125" s="30"/>
      <c r="EK125" s="30"/>
      <c r="EL125" s="30"/>
      <c r="EM125" s="30"/>
      <c r="EN125" s="30"/>
      <c r="EO125" s="30"/>
      <c r="EP125" s="30"/>
      <c r="EQ125" s="30"/>
      <c r="ER125" s="30"/>
      <c r="ES125" s="30"/>
      <c r="ET125" s="30"/>
      <c r="EU125" s="30"/>
      <c r="EV125" s="30"/>
      <c r="EW125" s="30"/>
    </row>
    <row r="126" spans="1:183">
      <c r="EF126" s="30"/>
      <c r="EG126" s="30"/>
      <c r="EH126" s="30"/>
      <c r="EI126" s="30"/>
      <c r="EJ126" s="30"/>
      <c r="EK126" s="30"/>
      <c r="EL126" s="30"/>
      <c r="EM126" s="30"/>
    </row>
    <row r="128" spans="1:183">
      <c r="A128" t="s">
        <v>4014</v>
      </c>
    </row>
    <row r="129" spans="1:135">
      <c r="A129" s="99" t="s">
        <v>848</v>
      </c>
      <c r="B129" s="48" t="s">
        <v>732</v>
      </c>
      <c r="C129" s="108">
        <v>0</v>
      </c>
      <c r="D129" s="108">
        <v>0</v>
      </c>
      <c r="E129" s="108">
        <v>0</v>
      </c>
      <c r="F129" s="108">
        <v>0</v>
      </c>
      <c r="G129" s="108">
        <v>0</v>
      </c>
      <c r="H129" s="108">
        <v>0</v>
      </c>
      <c r="I129" s="108">
        <v>0</v>
      </c>
      <c r="J129" s="108">
        <v>0</v>
      </c>
      <c r="K129" s="108">
        <v>0</v>
      </c>
      <c r="L129" s="108">
        <v>0</v>
      </c>
      <c r="M129" s="176">
        <v>0</v>
      </c>
      <c r="N129" s="176">
        <f t="shared" ref="N129:AW129" si="412">N1</f>
        <v>38718</v>
      </c>
      <c r="O129" s="176">
        <f t="shared" si="412"/>
        <v>38749</v>
      </c>
      <c r="P129" s="176">
        <f t="shared" si="412"/>
        <v>38777</v>
      </c>
      <c r="Q129" s="176">
        <f t="shared" si="412"/>
        <v>38808</v>
      </c>
      <c r="R129" s="176">
        <f t="shared" si="412"/>
        <v>38838</v>
      </c>
      <c r="S129" s="176">
        <f t="shared" si="412"/>
        <v>38869</v>
      </c>
      <c r="T129" s="176">
        <f t="shared" si="412"/>
        <v>38899</v>
      </c>
      <c r="U129" s="176">
        <f t="shared" si="412"/>
        <v>38930</v>
      </c>
      <c r="V129" s="176">
        <f t="shared" si="412"/>
        <v>38961</v>
      </c>
      <c r="W129" s="176">
        <f t="shared" si="412"/>
        <v>38991</v>
      </c>
      <c r="X129" s="176">
        <f t="shared" si="412"/>
        <v>39022</v>
      </c>
      <c r="Y129" s="176">
        <f t="shared" si="412"/>
        <v>39052</v>
      </c>
      <c r="Z129" s="176">
        <f t="shared" si="412"/>
        <v>39083</v>
      </c>
      <c r="AA129" s="176">
        <f t="shared" si="412"/>
        <v>39114</v>
      </c>
      <c r="AB129" s="176">
        <f t="shared" si="412"/>
        <v>39142</v>
      </c>
      <c r="AC129" s="176">
        <f t="shared" si="412"/>
        <v>39173</v>
      </c>
      <c r="AD129" s="176">
        <f t="shared" si="412"/>
        <v>39203</v>
      </c>
      <c r="AE129" s="176">
        <f t="shared" si="412"/>
        <v>39234</v>
      </c>
      <c r="AF129" s="176">
        <f t="shared" si="412"/>
        <v>39264</v>
      </c>
      <c r="AG129" s="176">
        <f t="shared" si="412"/>
        <v>39295</v>
      </c>
      <c r="AH129" s="176">
        <f t="shared" si="412"/>
        <v>39326</v>
      </c>
      <c r="AI129" s="176">
        <f t="shared" si="412"/>
        <v>39356</v>
      </c>
      <c r="AJ129" s="176">
        <f t="shared" si="412"/>
        <v>39387</v>
      </c>
      <c r="AK129" s="176">
        <f t="shared" si="412"/>
        <v>39417</v>
      </c>
      <c r="AL129" s="176">
        <f t="shared" si="412"/>
        <v>39448</v>
      </c>
      <c r="AM129" s="176">
        <f t="shared" si="412"/>
        <v>39479</v>
      </c>
      <c r="AN129" s="176">
        <f t="shared" si="412"/>
        <v>39508</v>
      </c>
      <c r="AO129" s="176">
        <f t="shared" si="412"/>
        <v>39539</v>
      </c>
      <c r="AP129" s="176">
        <f t="shared" si="412"/>
        <v>39569</v>
      </c>
      <c r="AQ129" s="176">
        <f t="shared" si="412"/>
        <v>39600</v>
      </c>
      <c r="AR129" s="176">
        <f t="shared" si="412"/>
        <v>39630</v>
      </c>
      <c r="AS129" s="176">
        <f t="shared" si="412"/>
        <v>39661</v>
      </c>
      <c r="AT129" s="176">
        <f t="shared" si="412"/>
        <v>39692</v>
      </c>
      <c r="AU129" s="176">
        <f t="shared" si="412"/>
        <v>39722</v>
      </c>
      <c r="AV129" s="176">
        <f t="shared" si="412"/>
        <v>39753</v>
      </c>
      <c r="AW129" s="176">
        <f t="shared" si="412"/>
        <v>39783</v>
      </c>
      <c r="AX129" s="364">
        <f t="shared" ref="AX129:BU129" si="413">AX1</f>
        <v>39814</v>
      </c>
      <c r="AY129" s="176">
        <f t="shared" si="413"/>
        <v>39845</v>
      </c>
      <c r="AZ129" s="176">
        <f t="shared" si="413"/>
        <v>39873</v>
      </c>
      <c r="BA129" s="176">
        <f t="shared" si="413"/>
        <v>39904</v>
      </c>
      <c r="BB129" s="176">
        <f t="shared" si="413"/>
        <v>39934</v>
      </c>
      <c r="BC129" s="176">
        <f t="shared" si="413"/>
        <v>39965</v>
      </c>
      <c r="BD129" s="176">
        <f t="shared" si="413"/>
        <v>39995</v>
      </c>
      <c r="BE129" s="176">
        <f t="shared" si="413"/>
        <v>40026</v>
      </c>
      <c r="BF129" s="176">
        <f t="shared" si="413"/>
        <v>40057</v>
      </c>
      <c r="BG129" s="176">
        <f t="shared" si="413"/>
        <v>40087</v>
      </c>
      <c r="BH129" s="176">
        <f t="shared" si="413"/>
        <v>40118</v>
      </c>
      <c r="BI129" s="176">
        <f t="shared" si="413"/>
        <v>40148</v>
      </c>
      <c r="BJ129" s="364">
        <f t="shared" si="413"/>
        <v>40179</v>
      </c>
      <c r="BK129" s="176">
        <f t="shared" si="413"/>
        <v>40210</v>
      </c>
      <c r="BL129" s="176">
        <f t="shared" si="413"/>
        <v>40238</v>
      </c>
      <c r="BM129" s="176">
        <f t="shared" si="413"/>
        <v>40269</v>
      </c>
      <c r="BN129" s="176">
        <f t="shared" si="413"/>
        <v>40299</v>
      </c>
      <c r="BO129" s="176">
        <f t="shared" si="413"/>
        <v>40330</v>
      </c>
      <c r="BP129" s="176">
        <f t="shared" si="413"/>
        <v>40360</v>
      </c>
      <c r="BQ129" s="176">
        <f t="shared" si="413"/>
        <v>40391</v>
      </c>
      <c r="BR129" s="176">
        <f t="shared" si="413"/>
        <v>40422</v>
      </c>
      <c r="BS129" s="176">
        <f t="shared" si="413"/>
        <v>40452</v>
      </c>
      <c r="BT129" s="176">
        <f t="shared" si="413"/>
        <v>40483</v>
      </c>
      <c r="BU129" s="365">
        <f t="shared" si="413"/>
        <v>40513</v>
      </c>
      <c r="BV129" s="364">
        <f t="shared" ref="BV129:CG129" si="414">BV1</f>
        <v>40544</v>
      </c>
      <c r="BW129" s="176">
        <f t="shared" si="414"/>
        <v>40575</v>
      </c>
      <c r="BX129" s="176">
        <f t="shared" si="414"/>
        <v>40603</v>
      </c>
      <c r="BY129" s="176">
        <f t="shared" si="414"/>
        <v>40634</v>
      </c>
      <c r="BZ129" s="176">
        <f t="shared" si="414"/>
        <v>40664</v>
      </c>
      <c r="CA129" s="176">
        <f t="shared" si="414"/>
        <v>40695</v>
      </c>
      <c r="CB129" s="176">
        <f t="shared" si="414"/>
        <v>40725</v>
      </c>
      <c r="CC129" s="176">
        <f t="shared" si="414"/>
        <v>40756</v>
      </c>
      <c r="CD129" s="176">
        <f t="shared" si="414"/>
        <v>40787</v>
      </c>
      <c r="CE129" s="176">
        <f t="shared" si="414"/>
        <v>40817</v>
      </c>
      <c r="CF129" s="176">
        <f t="shared" si="414"/>
        <v>40848</v>
      </c>
      <c r="CG129" s="365">
        <f t="shared" si="414"/>
        <v>40878</v>
      </c>
      <c r="CH129" s="104">
        <v>40909</v>
      </c>
      <c r="CI129" s="103">
        <v>40940</v>
      </c>
      <c r="CJ129" s="103">
        <v>40969</v>
      </c>
      <c r="CK129" s="103">
        <v>41000</v>
      </c>
      <c r="CL129" s="103">
        <v>41030</v>
      </c>
      <c r="CM129" s="103">
        <v>41061</v>
      </c>
      <c r="CN129" s="103">
        <v>41091</v>
      </c>
      <c r="CO129" s="103">
        <v>41122</v>
      </c>
      <c r="CP129" s="103">
        <v>41153</v>
      </c>
      <c r="CQ129" s="103">
        <v>41183</v>
      </c>
      <c r="CR129" s="103">
        <v>41214</v>
      </c>
      <c r="CS129" s="102">
        <v>41244</v>
      </c>
      <c r="CT129" s="918">
        <v>41275</v>
      </c>
      <c r="CU129" s="919">
        <v>41306</v>
      </c>
      <c r="CV129" s="919">
        <v>41334</v>
      </c>
      <c r="CW129" s="919">
        <v>41365</v>
      </c>
      <c r="CX129" s="919">
        <v>41395</v>
      </c>
      <c r="CY129" s="919">
        <v>41426</v>
      </c>
      <c r="CZ129" s="919">
        <v>41456</v>
      </c>
      <c r="DA129" s="919">
        <v>41487</v>
      </c>
      <c r="DB129" s="919">
        <v>41518</v>
      </c>
      <c r="DC129" s="919">
        <v>41548</v>
      </c>
      <c r="DD129" s="919">
        <v>41579</v>
      </c>
      <c r="DE129" s="920">
        <v>41609</v>
      </c>
      <c r="DF129" s="918">
        <v>41640</v>
      </c>
      <c r="DG129" s="919">
        <v>41671</v>
      </c>
      <c r="DH129" s="919">
        <v>41699</v>
      </c>
      <c r="DI129" s="919">
        <v>41730</v>
      </c>
      <c r="DJ129" s="919">
        <v>41760</v>
      </c>
      <c r="DK129" s="919">
        <v>41791</v>
      </c>
      <c r="DL129" s="919">
        <v>41821</v>
      </c>
      <c r="DM129" s="919">
        <v>41852</v>
      </c>
      <c r="DN129" s="919">
        <v>41883</v>
      </c>
      <c r="DO129" s="919">
        <v>41913</v>
      </c>
      <c r="DP129" s="919">
        <v>41944</v>
      </c>
      <c r="DQ129" s="920">
        <v>41974</v>
      </c>
      <c r="DR129" s="918">
        <v>42005</v>
      </c>
      <c r="DS129" s="919">
        <v>42036</v>
      </c>
      <c r="DT129" s="919">
        <v>42064</v>
      </c>
      <c r="DU129" s="919">
        <v>42095</v>
      </c>
      <c r="DV129" s="919">
        <v>42125</v>
      </c>
      <c r="DW129" s="919">
        <v>42156</v>
      </c>
      <c r="DX129" s="919">
        <v>42186</v>
      </c>
      <c r="DY129" s="919">
        <v>42217</v>
      </c>
      <c r="DZ129" s="919">
        <v>42248</v>
      </c>
      <c r="EA129" s="919">
        <v>42278</v>
      </c>
      <c r="EB129" s="919">
        <v>42309</v>
      </c>
      <c r="EC129" s="920">
        <v>42339</v>
      </c>
      <c r="ED129" s="35" t="s">
        <v>974</v>
      </c>
    </row>
    <row r="130" spans="1:135">
      <c r="A130" t="s">
        <v>1586</v>
      </c>
      <c r="B130" s="233"/>
      <c r="C130">
        <v>0</v>
      </c>
      <c r="D130">
        <v>0</v>
      </c>
      <c r="E130">
        <v>0</v>
      </c>
      <c r="F130">
        <v>0</v>
      </c>
      <c r="G130">
        <v>0</v>
      </c>
      <c r="H130">
        <v>0</v>
      </c>
      <c r="I130">
        <v>0</v>
      </c>
      <c r="J130">
        <v>0</v>
      </c>
      <c r="K130">
        <v>0</v>
      </c>
      <c r="L130">
        <v>0</v>
      </c>
      <c r="M130">
        <v>0</v>
      </c>
      <c r="N130" s="32">
        <v>0</v>
      </c>
      <c r="O130" s="32">
        <v>0</v>
      </c>
      <c r="P130" s="32">
        <v>0</v>
      </c>
      <c r="Q130" s="32">
        <v>0</v>
      </c>
      <c r="R130" s="32">
        <v>0</v>
      </c>
      <c r="S130" s="32">
        <v>0</v>
      </c>
      <c r="T130" s="32">
        <v>0</v>
      </c>
      <c r="U130" s="32">
        <v>0</v>
      </c>
      <c r="V130" s="32">
        <v>0</v>
      </c>
      <c r="W130" s="32">
        <v>0</v>
      </c>
      <c r="X130" s="32">
        <v>0</v>
      </c>
      <c r="Y130" s="32">
        <v>0</v>
      </c>
      <c r="Z130" s="88">
        <v>0</v>
      </c>
      <c r="AA130" s="93">
        <v>0</v>
      </c>
      <c r="AB130" s="93">
        <v>0</v>
      </c>
      <c r="AC130" s="93">
        <v>0</v>
      </c>
      <c r="AD130" s="93">
        <v>0</v>
      </c>
      <c r="AE130" s="93">
        <v>0</v>
      </c>
      <c r="AF130" s="93">
        <v>0</v>
      </c>
      <c r="AG130" s="93">
        <v>0</v>
      </c>
      <c r="AH130" s="93">
        <v>0</v>
      </c>
      <c r="AI130" s="93">
        <v>0</v>
      </c>
      <c r="AJ130" s="93">
        <v>0</v>
      </c>
      <c r="AK130" s="31">
        <v>0</v>
      </c>
      <c r="AL130" s="32">
        <v>0</v>
      </c>
      <c r="AM130" s="32">
        <v>0</v>
      </c>
      <c r="AN130" s="32">
        <v>0</v>
      </c>
      <c r="AO130" s="32">
        <v>0</v>
      </c>
      <c r="AP130" s="32">
        <v>0</v>
      </c>
      <c r="AQ130" s="32">
        <v>0</v>
      </c>
      <c r="AR130" s="73">
        <v>0</v>
      </c>
      <c r="AS130" s="32">
        <v>0</v>
      </c>
      <c r="AT130" s="32">
        <v>0</v>
      </c>
      <c r="AU130" s="32">
        <v>0</v>
      </c>
      <c r="AV130" s="32">
        <v>0</v>
      </c>
      <c r="AW130" s="32">
        <v>0</v>
      </c>
      <c r="AX130" s="88">
        <v>0</v>
      </c>
      <c r="AY130" s="93">
        <v>0</v>
      </c>
      <c r="AZ130" s="93">
        <v>0</v>
      </c>
      <c r="BA130" s="93">
        <v>0</v>
      </c>
      <c r="BB130" s="93">
        <v>0</v>
      </c>
      <c r="BC130" s="93">
        <v>0</v>
      </c>
      <c r="BD130" s="93">
        <v>0</v>
      </c>
      <c r="BE130" s="93">
        <v>0</v>
      </c>
      <c r="BF130" s="93">
        <v>410.04599999999999</v>
      </c>
      <c r="BG130" s="93">
        <v>0</v>
      </c>
      <c r="BH130" s="93">
        <v>0</v>
      </c>
      <c r="BI130" s="93">
        <v>0</v>
      </c>
      <c r="BJ130" s="88">
        <v>0</v>
      </c>
      <c r="BK130" s="93">
        <v>0</v>
      </c>
      <c r="BL130" s="93">
        <v>0</v>
      </c>
      <c r="BM130" s="93">
        <v>0</v>
      </c>
      <c r="BN130" s="93">
        <v>0</v>
      </c>
      <c r="BO130" s="93">
        <v>0</v>
      </c>
      <c r="BP130" s="93">
        <v>0</v>
      </c>
      <c r="BQ130" s="93">
        <v>0</v>
      </c>
      <c r="BR130" s="93">
        <v>0</v>
      </c>
      <c r="BS130" s="93">
        <v>0</v>
      </c>
      <c r="BT130" s="93">
        <v>0</v>
      </c>
      <c r="BU130" s="31">
        <v>0</v>
      </c>
      <c r="BV130" s="88">
        <v>0</v>
      </c>
      <c r="BW130" s="93">
        <v>0</v>
      </c>
      <c r="BX130" s="93">
        <v>0</v>
      </c>
      <c r="BY130" s="93">
        <v>0</v>
      </c>
      <c r="BZ130" s="93">
        <v>0</v>
      </c>
      <c r="CA130" s="93">
        <v>0</v>
      </c>
      <c r="CB130" s="93">
        <v>0</v>
      </c>
      <c r="CC130" s="93">
        <v>0</v>
      </c>
      <c r="CD130" s="93">
        <v>0</v>
      </c>
      <c r="CE130" s="93">
        <v>0</v>
      </c>
      <c r="CF130" s="93">
        <v>0</v>
      </c>
      <c r="CG130" s="93">
        <v>0</v>
      </c>
      <c r="CH130" s="88">
        <v>0</v>
      </c>
      <c r="CI130" s="93">
        <v>0</v>
      </c>
      <c r="CJ130" s="93">
        <v>0</v>
      </c>
      <c r="CK130" s="93">
        <v>0</v>
      </c>
      <c r="CL130" s="93">
        <v>0</v>
      </c>
      <c r="CM130" s="93">
        <v>0</v>
      </c>
      <c r="CN130" s="93">
        <v>1768.894</v>
      </c>
      <c r="CO130" s="93">
        <v>0</v>
      </c>
      <c r="CP130" s="93">
        <v>0</v>
      </c>
      <c r="CQ130" s="93">
        <v>0</v>
      </c>
      <c r="CR130" s="93">
        <v>0</v>
      </c>
      <c r="CS130" s="31">
        <v>0</v>
      </c>
      <c r="CT130" s="88">
        <v>0</v>
      </c>
      <c r="CU130" s="93">
        <v>0</v>
      </c>
      <c r="CV130" s="93">
        <v>0</v>
      </c>
      <c r="CW130" s="93">
        <v>0</v>
      </c>
      <c r="CX130" s="93">
        <v>0</v>
      </c>
      <c r="CY130" s="93">
        <v>0</v>
      </c>
      <c r="CZ130" s="93">
        <v>0</v>
      </c>
      <c r="DA130" s="93">
        <v>0</v>
      </c>
      <c r="DB130" s="93">
        <v>0</v>
      </c>
      <c r="DC130" s="93">
        <v>0</v>
      </c>
      <c r="DD130" s="93">
        <v>0</v>
      </c>
      <c r="DE130" s="31">
        <v>0</v>
      </c>
      <c r="DF130" s="88">
        <v>0</v>
      </c>
      <c r="DG130" s="93">
        <v>0</v>
      </c>
      <c r="DH130" s="93">
        <v>0</v>
      </c>
      <c r="DI130" s="93">
        <v>0</v>
      </c>
      <c r="DJ130" s="93">
        <v>0</v>
      </c>
      <c r="DK130" s="93">
        <v>0</v>
      </c>
      <c r="DL130" s="93">
        <v>0</v>
      </c>
      <c r="DM130" s="93">
        <v>0</v>
      </c>
      <c r="DN130" s="93">
        <v>0</v>
      </c>
      <c r="DO130" s="93">
        <v>0</v>
      </c>
      <c r="DP130" s="93">
        <v>0</v>
      </c>
      <c r="DQ130" s="31">
        <v>0</v>
      </c>
      <c r="DR130" s="88">
        <v>0</v>
      </c>
      <c r="DS130" s="93">
        <v>0</v>
      </c>
      <c r="DT130" s="93">
        <v>0</v>
      </c>
      <c r="DU130" s="93">
        <v>0</v>
      </c>
      <c r="DV130" s="93">
        <v>0</v>
      </c>
      <c r="DW130" s="93">
        <v>0</v>
      </c>
      <c r="DX130" s="93">
        <v>0</v>
      </c>
      <c r="DY130" s="93">
        <v>0</v>
      </c>
      <c r="DZ130" s="93">
        <v>0</v>
      </c>
      <c r="EA130" s="93">
        <v>0</v>
      </c>
      <c r="EB130" s="93">
        <v>0</v>
      </c>
      <c r="EC130" s="31">
        <v>0</v>
      </c>
      <c r="ED130" s="31">
        <f t="shared" ref="ED130:ED158" si="415">SUM(N130:EC130)</f>
        <v>2178.94</v>
      </c>
      <c r="EE130" s="32"/>
    </row>
    <row r="131" spans="1:135">
      <c r="A131" t="s">
        <v>1059</v>
      </c>
      <c r="B131" s="76"/>
      <c r="C131">
        <v>0</v>
      </c>
      <c r="D131">
        <v>0</v>
      </c>
      <c r="E131">
        <v>0</v>
      </c>
      <c r="F131">
        <v>0</v>
      </c>
      <c r="G131">
        <v>0</v>
      </c>
      <c r="H131">
        <v>0</v>
      </c>
      <c r="I131">
        <v>0</v>
      </c>
      <c r="J131">
        <v>0</v>
      </c>
      <c r="K131">
        <v>0</v>
      </c>
      <c r="L131">
        <v>0</v>
      </c>
      <c r="M131">
        <v>0</v>
      </c>
      <c r="N131" s="32">
        <v>0</v>
      </c>
      <c r="O131" s="32">
        <v>0</v>
      </c>
      <c r="P131" s="32">
        <v>0</v>
      </c>
      <c r="Q131" s="32">
        <v>0</v>
      </c>
      <c r="R131" s="32">
        <v>0</v>
      </c>
      <c r="S131" s="32">
        <v>0</v>
      </c>
      <c r="T131" s="32">
        <v>0</v>
      </c>
      <c r="U131" s="32">
        <v>0</v>
      </c>
      <c r="V131" s="32">
        <v>0</v>
      </c>
      <c r="W131" s="32">
        <v>0</v>
      </c>
      <c r="X131" s="32">
        <v>0</v>
      </c>
      <c r="Y131" s="32">
        <v>0</v>
      </c>
      <c r="Z131" s="90">
        <v>0</v>
      </c>
      <c r="AA131" s="94">
        <v>0</v>
      </c>
      <c r="AB131" s="94">
        <v>0</v>
      </c>
      <c r="AC131" s="94">
        <v>0</v>
      </c>
      <c r="AD131" s="94">
        <v>0</v>
      </c>
      <c r="AE131" s="94">
        <v>0</v>
      </c>
      <c r="AF131" s="94">
        <v>0</v>
      </c>
      <c r="AG131" s="94">
        <v>0</v>
      </c>
      <c r="AH131" s="94">
        <v>0</v>
      </c>
      <c r="AI131" s="94">
        <v>0</v>
      </c>
      <c r="AJ131" s="94">
        <v>0</v>
      </c>
      <c r="AK131" s="28">
        <v>0</v>
      </c>
      <c r="AL131" s="32">
        <v>0</v>
      </c>
      <c r="AM131" s="32">
        <v>0</v>
      </c>
      <c r="AN131" s="32">
        <v>0</v>
      </c>
      <c r="AO131" s="32">
        <v>0</v>
      </c>
      <c r="AP131" s="32">
        <v>0</v>
      </c>
      <c r="AQ131" s="32">
        <v>0</v>
      </c>
      <c r="AR131" s="73">
        <v>0</v>
      </c>
      <c r="AS131" s="32">
        <v>0</v>
      </c>
      <c r="AT131" s="32">
        <v>0</v>
      </c>
      <c r="AU131" s="32">
        <v>0</v>
      </c>
      <c r="AV131" s="32">
        <v>0</v>
      </c>
      <c r="AW131" s="32">
        <v>0</v>
      </c>
      <c r="AX131" s="90">
        <v>0</v>
      </c>
      <c r="AY131" s="94">
        <v>0</v>
      </c>
      <c r="AZ131" s="94">
        <v>0</v>
      </c>
      <c r="BA131" s="94">
        <v>0</v>
      </c>
      <c r="BB131" s="94">
        <v>0</v>
      </c>
      <c r="BC131" s="94">
        <v>0</v>
      </c>
      <c r="BD131" s="94">
        <v>0</v>
      </c>
      <c r="BE131" s="94">
        <v>0</v>
      </c>
      <c r="BF131" s="94">
        <v>0</v>
      </c>
      <c r="BG131" s="94">
        <v>0</v>
      </c>
      <c r="BH131" s="94">
        <v>0</v>
      </c>
      <c r="BI131" s="94">
        <v>222.24600000000001</v>
      </c>
      <c r="BJ131" s="90">
        <v>0</v>
      </c>
      <c r="BK131" s="94">
        <v>0</v>
      </c>
      <c r="BL131" s="94">
        <v>0</v>
      </c>
      <c r="BM131" s="94">
        <v>0</v>
      </c>
      <c r="BN131" s="94">
        <v>0</v>
      </c>
      <c r="BO131" s="94">
        <v>0</v>
      </c>
      <c r="BP131" s="94">
        <v>0</v>
      </c>
      <c r="BQ131" s="94">
        <v>0</v>
      </c>
      <c r="BR131" s="94">
        <v>0</v>
      </c>
      <c r="BS131" s="94">
        <v>0</v>
      </c>
      <c r="BT131" s="94">
        <v>0</v>
      </c>
      <c r="BU131" s="28">
        <v>0</v>
      </c>
      <c r="BV131" s="90">
        <v>0</v>
      </c>
      <c r="BW131" s="94">
        <v>0</v>
      </c>
      <c r="BX131" s="94">
        <v>0</v>
      </c>
      <c r="BY131" s="94">
        <v>0</v>
      </c>
      <c r="BZ131" s="94">
        <v>0</v>
      </c>
      <c r="CA131" s="94">
        <v>0</v>
      </c>
      <c r="CB131" s="94">
        <v>0</v>
      </c>
      <c r="CC131" s="94">
        <v>0</v>
      </c>
      <c r="CD131" s="94">
        <v>0</v>
      </c>
      <c r="CE131" s="94">
        <v>0</v>
      </c>
      <c r="CF131" s="94">
        <v>0</v>
      </c>
      <c r="CG131" s="94">
        <v>0</v>
      </c>
      <c r="CH131" s="90">
        <v>0</v>
      </c>
      <c r="CI131" s="94">
        <v>320.70999999999998</v>
      </c>
      <c r="CJ131" s="94">
        <v>0</v>
      </c>
      <c r="CK131" s="94">
        <v>0</v>
      </c>
      <c r="CL131" s="94">
        <v>0</v>
      </c>
      <c r="CM131" s="94">
        <v>0</v>
      </c>
      <c r="CN131" s="94">
        <v>0</v>
      </c>
      <c r="CO131" s="94">
        <v>0</v>
      </c>
      <c r="CP131" s="94">
        <v>0</v>
      </c>
      <c r="CQ131" s="94">
        <v>3802.3543999999997</v>
      </c>
      <c r="CR131" s="94">
        <v>862.56400000000008</v>
      </c>
      <c r="CS131" s="28">
        <v>23016.773000000001</v>
      </c>
      <c r="CT131" s="90">
        <v>0</v>
      </c>
      <c r="CU131" s="94">
        <v>0</v>
      </c>
      <c r="CV131" s="94">
        <v>0</v>
      </c>
      <c r="CW131" s="94">
        <v>0</v>
      </c>
      <c r="CX131" s="94">
        <v>0</v>
      </c>
      <c r="CY131" s="94">
        <v>0</v>
      </c>
      <c r="CZ131" s="94">
        <v>0</v>
      </c>
      <c r="DA131" s="94">
        <v>0</v>
      </c>
      <c r="DB131" s="94">
        <v>0</v>
      </c>
      <c r="DC131" s="94">
        <v>0</v>
      </c>
      <c r="DD131" s="94">
        <v>0</v>
      </c>
      <c r="DE131" s="28">
        <v>0</v>
      </c>
      <c r="DF131" s="90">
        <v>0</v>
      </c>
      <c r="DG131" s="94">
        <v>0</v>
      </c>
      <c r="DH131" s="94">
        <v>0</v>
      </c>
      <c r="DI131" s="94">
        <v>0</v>
      </c>
      <c r="DJ131" s="94">
        <v>0</v>
      </c>
      <c r="DK131" s="94">
        <v>0</v>
      </c>
      <c r="DL131" s="94">
        <v>0</v>
      </c>
      <c r="DM131" s="94">
        <v>0</v>
      </c>
      <c r="DN131" s="94">
        <v>0</v>
      </c>
      <c r="DO131" s="94">
        <v>0</v>
      </c>
      <c r="DP131" s="94">
        <v>0</v>
      </c>
      <c r="DQ131" s="28">
        <v>0</v>
      </c>
      <c r="DR131" s="90">
        <v>0</v>
      </c>
      <c r="DS131" s="94">
        <v>0</v>
      </c>
      <c r="DT131" s="94">
        <v>0</v>
      </c>
      <c r="DU131" s="94">
        <v>0</v>
      </c>
      <c r="DV131" s="94">
        <v>0</v>
      </c>
      <c r="DW131" s="94">
        <v>0</v>
      </c>
      <c r="DX131" s="94">
        <v>0</v>
      </c>
      <c r="DY131" s="94">
        <v>0</v>
      </c>
      <c r="DZ131" s="94">
        <v>0</v>
      </c>
      <c r="EA131" s="94">
        <v>0</v>
      </c>
      <c r="EB131" s="94">
        <v>0</v>
      </c>
      <c r="EC131" s="28">
        <v>0</v>
      </c>
      <c r="ED131" s="28">
        <f t="shared" si="415"/>
        <v>28224.647400000002</v>
      </c>
      <c r="EE131" s="32"/>
    </row>
    <row r="132" spans="1:135">
      <c r="A132" s="219" t="s">
        <v>3656</v>
      </c>
      <c r="B132" s="76"/>
      <c r="C132">
        <v>0</v>
      </c>
      <c r="D132">
        <v>0</v>
      </c>
      <c r="E132">
        <v>0</v>
      </c>
      <c r="F132">
        <v>0</v>
      </c>
      <c r="G132">
        <v>0</v>
      </c>
      <c r="H132">
        <v>0</v>
      </c>
      <c r="I132">
        <v>0</v>
      </c>
      <c r="J132">
        <v>0</v>
      </c>
      <c r="K132">
        <v>0</v>
      </c>
      <c r="L132">
        <v>0</v>
      </c>
      <c r="M132">
        <v>0</v>
      </c>
      <c r="N132" s="32">
        <v>0</v>
      </c>
      <c r="O132" s="32">
        <v>0</v>
      </c>
      <c r="P132" s="32">
        <v>0</v>
      </c>
      <c r="Q132" s="32">
        <v>0</v>
      </c>
      <c r="R132" s="32">
        <v>0</v>
      </c>
      <c r="S132" s="32">
        <v>0</v>
      </c>
      <c r="T132" s="32">
        <v>0</v>
      </c>
      <c r="U132" s="32">
        <v>0</v>
      </c>
      <c r="V132" s="32">
        <v>0</v>
      </c>
      <c r="W132" s="32">
        <v>0</v>
      </c>
      <c r="X132" s="32">
        <v>0</v>
      </c>
      <c r="Y132" s="32">
        <v>0</v>
      </c>
      <c r="Z132" s="90">
        <v>0</v>
      </c>
      <c r="AA132" s="94">
        <v>0</v>
      </c>
      <c r="AB132" s="94">
        <v>0</v>
      </c>
      <c r="AC132" s="94">
        <v>0</v>
      </c>
      <c r="AD132" s="94">
        <v>0</v>
      </c>
      <c r="AE132" s="94">
        <v>0</v>
      </c>
      <c r="AF132" s="94">
        <v>0</v>
      </c>
      <c r="AG132" s="94">
        <v>0</v>
      </c>
      <c r="AH132" s="94">
        <v>0</v>
      </c>
      <c r="AI132" s="94">
        <v>0</v>
      </c>
      <c r="AJ132" s="94">
        <v>0</v>
      </c>
      <c r="AK132" s="28">
        <v>0</v>
      </c>
      <c r="AL132" s="32">
        <v>0</v>
      </c>
      <c r="AM132" s="32">
        <v>0</v>
      </c>
      <c r="AN132" s="32">
        <v>0</v>
      </c>
      <c r="AO132" s="32">
        <v>0</v>
      </c>
      <c r="AP132" s="32">
        <v>0</v>
      </c>
      <c r="AQ132" s="32">
        <v>0</v>
      </c>
      <c r="AR132" s="73">
        <v>0</v>
      </c>
      <c r="AS132" s="32">
        <v>0</v>
      </c>
      <c r="AT132" s="32">
        <v>0</v>
      </c>
      <c r="AU132" s="32">
        <v>0</v>
      </c>
      <c r="AV132" s="32">
        <v>0</v>
      </c>
      <c r="AW132" s="32">
        <v>0</v>
      </c>
      <c r="AX132" s="90">
        <v>0</v>
      </c>
      <c r="AY132" s="94">
        <v>0</v>
      </c>
      <c r="AZ132" s="94">
        <v>0</v>
      </c>
      <c r="BA132" s="94">
        <v>0</v>
      </c>
      <c r="BB132" s="94">
        <v>0</v>
      </c>
      <c r="BC132" s="94">
        <v>0</v>
      </c>
      <c r="BD132" s="94">
        <v>0</v>
      </c>
      <c r="BE132" s="94">
        <v>0</v>
      </c>
      <c r="BF132" s="94">
        <v>0</v>
      </c>
      <c r="BG132" s="94">
        <v>0</v>
      </c>
      <c r="BH132" s="94">
        <v>0</v>
      </c>
      <c r="BI132" s="94">
        <v>0</v>
      </c>
      <c r="BJ132" s="90">
        <v>0</v>
      </c>
      <c r="BK132" s="94">
        <v>0</v>
      </c>
      <c r="BL132" s="94">
        <v>0</v>
      </c>
      <c r="BM132" s="94">
        <v>0</v>
      </c>
      <c r="BN132" s="94">
        <v>0</v>
      </c>
      <c r="BO132" s="94">
        <v>0</v>
      </c>
      <c r="BP132" s="94">
        <v>0</v>
      </c>
      <c r="BQ132" s="94">
        <v>0</v>
      </c>
      <c r="BR132" s="94">
        <v>0</v>
      </c>
      <c r="BS132" s="94">
        <v>0</v>
      </c>
      <c r="BT132" s="94">
        <v>0</v>
      </c>
      <c r="BU132" s="28">
        <v>0</v>
      </c>
      <c r="BV132" s="90">
        <v>0</v>
      </c>
      <c r="BW132" s="94">
        <v>0</v>
      </c>
      <c r="BX132" s="94">
        <v>0</v>
      </c>
      <c r="BY132" s="94">
        <v>0</v>
      </c>
      <c r="BZ132" s="94">
        <v>0</v>
      </c>
      <c r="CA132" s="94">
        <v>0</v>
      </c>
      <c r="CB132" s="94">
        <v>0</v>
      </c>
      <c r="CC132" s="94">
        <v>0</v>
      </c>
      <c r="CD132" s="94">
        <v>0</v>
      </c>
      <c r="CE132" s="94">
        <v>0</v>
      </c>
      <c r="CF132" s="94">
        <v>0</v>
      </c>
      <c r="CG132" s="94">
        <v>0</v>
      </c>
      <c r="CH132" s="90">
        <v>560.56899999999996</v>
      </c>
      <c r="CI132" s="94">
        <v>0</v>
      </c>
      <c r="CJ132" s="94">
        <v>0</v>
      </c>
      <c r="CK132" s="94">
        <v>0</v>
      </c>
      <c r="CL132" s="94">
        <v>0</v>
      </c>
      <c r="CM132" s="94">
        <v>0</v>
      </c>
      <c r="CN132" s="94">
        <v>0</v>
      </c>
      <c r="CO132" s="94">
        <v>0</v>
      </c>
      <c r="CP132" s="94">
        <v>0</v>
      </c>
      <c r="CQ132" s="94">
        <v>0</v>
      </c>
      <c r="CR132" s="94">
        <v>0</v>
      </c>
      <c r="CS132" s="28">
        <v>0</v>
      </c>
      <c r="CT132" s="90">
        <v>0</v>
      </c>
      <c r="CU132" s="94">
        <v>0</v>
      </c>
      <c r="CV132" s="94">
        <v>0</v>
      </c>
      <c r="CW132" s="94">
        <v>0</v>
      </c>
      <c r="CX132" s="94">
        <v>0</v>
      </c>
      <c r="CY132" s="94">
        <v>0</v>
      </c>
      <c r="CZ132" s="94">
        <v>0</v>
      </c>
      <c r="DA132" s="94">
        <v>0</v>
      </c>
      <c r="DB132" s="94">
        <v>0</v>
      </c>
      <c r="DC132" s="94">
        <v>0</v>
      </c>
      <c r="DD132" s="94">
        <v>0</v>
      </c>
      <c r="DE132" s="28">
        <v>0</v>
      </c>
      <c r="DF132" s="90">
        <v>0</v>
      </c>
      <c r="DG132" s="94">
        <v>0</v>
      </c>
      <c r="DH132" s="94">
        <v>0</v>
      </c>
      <c r="DI132" s="94">
        <v>0</v>
      </c>
      <c r="DJ132" s="94">
        <v>0</v>
      </c>
      <c r="DK132" s="94">
        <v>0</v>
      </c>
      <c r="DL132" s="94">
        <v>0</v>
      </c>
      <c r="DM132" s="94">
        <v>0</v>
      </c>
      <c r="DN132" s="94">
        <v>0</v>
      </c>
      <c r="DO132" s="94">
        <v>0</v>
      </c>
      <c r="DP132" s="94">
        <v>0</v>
      </c>
      <c r="DQ132" s="28">
        <v>0</v>
      </c>
      <c r="DR132" s="90">
        <v>0</v>
      </c>
      <c r="DS132" s="94">
        <v>0</v>
      </c>
      <c r="DT132" s="94">
        <v>0</v>
      </c>
      <c r="DU132" s="94">
        <v>0</v>
      </c>
      <c r="DV132" s="94">
        <v>0</v>
      </c>
      <c r="DW132" s="94">
        <v>0</v>
      </c>
      <c r="DX132" s="94">
        <v>0</v>
      </c>
      <c r="DY132" s="94">
        <v>0</v>
      </c>
      <c r="DZ132" s="94">
        <v>0</v>
      </c>
      <c r="EA132" s="94">
        <v>0</v>
      </c>
      <c r="EB132" s="94">
        <v>0</v>
      </c>
      <c r="EC132" s="28">
        <v>0</v>
      </c>
      <c r="ED132" s="28">
        <f t="shared" si="415"/>
        <v>560.56899999999996</v>
      </c>
    </row>
    <row r="133" spans="1:135">
      <c r="A133" t="s">
        <v>1082</v>
      </c>
      <c r="B133" s="76"/>
      <c r="C133">
        <v>0</v>
      </c>
      <c r="D133">
        <v>0</v>
      </c>
      <c r="E133">
        <v>0</v>
      </c>
      <c r="F133">
        <v>0</v>
      </c>
      <c r="G133">
        <v>0</v>
      </c>
      <c r="H133">
        <v>0</v>
      </c>
      <c r="I133">
        <v>0</v>
      </c>
      <c r="J133">
        <v>0</v>
      </c>
      <c r="K133">
        <v>0</v>
      </c>
      <c r="L133">
        <v>0</v>
      </c>
      <c r="M133">
        <v>0</v>
      </c>
      <c r="N133" s="32">
        <v>0</v>
      </c>
      <c r="O133" s="32">
        <v>0</v>
      </c>
      <c r="P133" s="32">
        <v>0</v>
      </c>
      <c r="Q133" s="32">
        <v>0</v>
      </c>
      <c r="R133" s="32">
        <v>0</v>
      </c>
      <c r="S133" s="32">
        <v>0</v>
      </c>
      <c r="T133" s="32">
        <v>0</v>
      </c>
      <c r="U133" s="32">
        <v>0</v>
      </c>
      <c r="V133" s="32">
        <v>0</v>
      </c>
      <c r="W133" s="32">
        <v>0</v>
      </c>
      <c r="X133" s="32">
        <v>1698.6680000000001</v>
      </c>
      <c r="Y133" s="32">
        <v>600.73</v>
      </c>
      <c r="Z133" s="90">
        <v>0</v>
      </c>
      <c r="AA133" s="94">
        <v>426.34800000000001</v>
      </c>
      <c r="AB133" s="94">
        <v>0</v>
      </c>
      <c r="AC133" s="94">
        <v>0</v>
      </c>
      <c r="AD133" s="94">
        <v>0</v>
      </c>
      <c r="AE133" s="94">
        <v>0</v>
      </c>
      <c r="AF133" s="94">
        <v>0</v>
      </c>
      <c r="AG133" s="94">
        <v>0</v>
      </c>
      <c r="AH133" s="94">
        <v>0</v>
      </c>
      <c r="AI133" s="94">
        <v>0</v>
      </c>
      <c r="AJ133" s="94">
        <v>0</v>
      </c>
      <c r="AK133" s="28">
        <v>148.85999999999999</v>
      </c>
      <c r="AL133" s="32">
        <v>0</v>
      </c>
      <c r="AM133" s="32">
        <v>0</v>
      </c>
      <c r="AN133" s="32">
        <v>206.83500000000001</v>
      </c>
      <c r="AO133" s="32">
        <v>0</v>
      </c>
      <c r="AP133" s="32">
        <v>0</v>
      </c>
      <c r="AQ133" s="32">
        <v>316.774</v>
      </c>
      <c r="AR133" s="73">
        <v>3265.1060000000002</v>
      </c>
      <c r="AS133" s="32">
        <v>0</v>
      </c>
      <c r="AT133" s="32">
        <v>0</v>
      </c>
      <c r="AU133" s="32">
        <v>0</v>
      </c>
      <c r="AV133" s="32">
        <v>440.53700000000003</v>
      </c>
      <c r="AW133" s="32">
        <v>0</v>
      </c>
      <c r="AX133" s="90">
        <v>0</v>
      </c>
      <c r="AY133" s="94">
        <v>0</v>
      </c>
      <c r="AZ133" s="94">
        <v>0</v>
      </c>
      <c r="BA133" s="94">
        <v>205.88499999999999</v>
      </c>
      <c r="BB133" s="94">
        <v>442.58499999999998</v>
      </c>
      <c r="BC133" s="94">
        <v>0</v>
      </c>
      <c r="BD133" s="94">
        <v>522.32000000000005</v>
      </c>
      <c r="BE133" s="94">
        <v>4.3449999999999998</v>
      </c>
      <c r="BF133" s="94">
        <v>108.13</v>
      </c>
      <c r="BG133" s="94">
        <v>0</v>
      </c>
      <c r="BH133" s="94">
        <v>0</v>
      </c>
      <c r="BI133" s="94">
        <v>174.77699999999999</v>
      </c>
      <c r="BJ133" s="90">
        <v>0</v>
      </c>
      <c r="BK133" s="94">
        <v>265.005</v>
      </c>
      <c r="BL133" s="94">
        <v>0</v>
      </c>
      <c r="BM133" s="94">
        <v>908.24400000000003</v>
      </c>
      <c r="BN133" s="94">
        <v>0</v>
      </c>
      <c r="BO133" s="94">
        <v>586</v>
      </c>
      <c r="BP133" s="94">
        <v>0</v>
      </c>
      <c r="BQ133" s="94">
        <v>0</v>
      </c>
      <c r="BR133" s="94">
        <v>55.508000000000003</v>
      </c>
      <c r="BS133" s="94">
        <v>0</v>
      </c>
      <c r="BT133" s="94">
        <v>0</v>
      </c>
      <c r="BU133" s="28">
        <v>0</v>
      </c>
      <c r="BV133" s="90">
        <v>0</v>
      </c>
      <c r="BW133" s="94">
        <v>0</v>
      </c>
      <c r="BX133" s="94">
        <v>1489.375</v>
      </c>
      <c r="BY133" s="94">
        <v>857.99399999999991</v>
      </c>
      <c r="BZ133" s="94">
        <v>414.64699999999999</v>
      </c>
      <c r="CA133" s="94">
        <v>0</v>
      </c>
      <c r="CB133" s="94">
        <v>0</v>
      </c>
      <c r="CC133" s="94">
        <v>0</v>
      </c>
      <c r="CD133" s="94">
        <v>156.94999999999999</v>
      </c>
      <c r="CE133" s="94">
        <v>0</v>
      </c>
      <c r="CF133" s="94">
        <v>0</v>
      </c>
      <c r="CG133" s="94">
        <v>0</v>
      </c>
      <c r="CH133" s="90">
        <v>25.405999999999999</v>
      </c>
      <c r="CI133" s="94">
        <v>0</v>
      </c>
      <c r="CJ133" s="94">
        <v>212.50800000000001</v>
      </c>
      <c r="CK133" s="94">
        <v>0</v>
      </c>
      <c r="CL133" s="94">
        <v>0</v>
      </c>
      <c r="CM133" s="94">
        <v>1630.9970000000001</v>
      </c>
      <c r="CN133" s="94">
        <v>435.005</v>
      </c>
      <c r="CO133" s="94">
        <v>0</v>
      </c>
      <c r="CP133" s="94">
        <v>0</v>
      </c>
      <c r="CQ133" s="94">
        <v>45.381999999999998</v>
      </c>
      <c r="CR133" s="94">
        <v>101.779</v>
      </c>
      <c r="CS133" s="28">
        <v>0</v>
      </c>
      <c r="CT133" s="90">
        <v>0</v>
      </c>
      <c r="CU133" s="94">
        <v>0</v>
      </c>
      <c r="CV133" s="94">
        <v>0</v>
      </c>
      <c r="CW133" s="94">
        <v>0</v>
      </c>
      <c r="CX133" s="94">
        <v>0</v>
      </c>
      <c r="CY133" s="94">
        <v>0</v>
      </c>
      <c r="CZ133" s="94">
        <v>0</v>
      </c>
      <c r="DA133" s="94">
        <v>0</v>
      </c>
      <c r="DB133" s="94">
        <v>0</v>
      </c>
      <c r="DC133" s="94">
        <v>0</v>
      </c>
      <c r="DD133" s="94">
        <v>0</v>
      </c>
      <c r="DE133" s="28">
        <v>0</v>
      </c>
      <c r="DF133" s="90">
        <v>0</v>
      </c>
      <c r="DG133" s="94">
        <v>0</v>
      </c>
      <c r="DH133" s="94">
        <v>0</v>
      </c>
      <c r="DI133" s="94">
        <v>0</v>
      </c>
      <c r="DJ133" s="94">
        <v>0</v>
      </c>
      <c r="DK133" s="94">
        <v>0</v>
      </c>
      <c r="DL133" s="94">
        <v>0</v>
      </c>
      <c r="DM133" s="94">
        <v>0</v>
      </c>
      <c r="DN133" s="94">
        <v>0</v>
      </c>
      <c r="DO133" s="94">
        <v>0</v>
      </c>
      <c r="DP133" s="94">
        <v>0</v>
      </c>
      <c r="DQ133" s="28">
        <v>0</v>
      </c>
      <c r="DR133" s="90">
        <v>0</v>
      </c>
      <c r="DS133" s="94">
        <v>0</v>
      </c>
      <c r="DT133" s="94">
        <v>0</v>
      </c>
      <c r="DU133" s="94">
        <v>0</v>
      </c>
      <c r="DV133" s="94">
        <v>0</v>
      </c>
      <c r="DW133" s="94">
        <v>0</v>
      </c>
      <c r="DX133" s="94">
        <v>0</v>
      </c>
      <c r="DY133" s="94">
        <v>0</v>
      </c>
      <c r="DZ133" s="94">
        <v>0</v>
      </c>
      <c r="EA133" s="94">
        <v>0</v>
      </c>
      <c r="EB133" s="94">
        <v>0</v>
      </c>
      <c r="EC133" s="28">
        <v>0</v>
      </c>
      <c r="ED133" s="28">
        <f t="shared" si="415"/>
        <v>15746.7</v>
      </c>
      <c r="EE133" s="32"/>
    </row>
    <row r="134" spans="1:135">
      <c r="A134" t="s">
        <v>973</v>
      </c>
      <c r="B134" s="76"/>
      <c r="C134">
        <v>0</v>
      </c>
      <c r="D134">
        <v>0</v>
      </c>
      <c r="E134">
        <v>0</v>
      </c>
      <c r="F134">
        <v>0</v>
      </c>
      <c r="G134">
        <v>0</v>
      </c>
      <c r="H134">
        <v>0</v>
      </c>
      <c r="I134">
        <v>0</v>
      </c>
      <c r="J134">
        <v>0</v>
      </c>
      <c r="K134">
        <v>0</v>
      </c>
      <c r="L134">
        <v>0</v>
      </c>
      <c r="M134">
        <v>0</v>
      </c>
      <c r="N134" s="32">
        <v>0</v>
      </c>
      <c r="O134" s="32">
        <v>0</v>
      </c>
      <c r="P134" s="32">
        <v>0</v>
      </c>
      <c r="Q134" s="32">
        <v>0</v>
      </c>
      <c r="R134" s="32">
        <v>0</v>
      </c>
      <c r="S134" s="32">
        <v>0</v>
      </c>
      <c r="T134" s="32">
        <v>0</v>
      </c>
      <c r="U134" s="32">
        <v>0</v>
      </c>
      <c r="V134" s="32">
        <v>0</v>
      </c>
      <c r="W134" s="32">
        <v>0</v>
      </c>
      <c r="X134" s="32">
        <v>0</v>
      </c>
      <c r="Y134" s="32">
        <v>0</v>
      </c>
      <c r="Z134" s="90">
        <v>0</v>
      </c>
      <c r="AA134" s="94">
        <v>0</v>
      </c>
      <c r="AB134" s="94">
        <v>0</v>
      </c>
      <c r="AC134" s="94">
        <v>0</v>
      </c>
      <c r="AD134" s="94">
        <v>0</v>
      </c>
      <c r="AE134" s="94">
        <v>0</v>
      </c>
      <c r="AF134" s="94">
        <v>0</v>
      </c>
      <c r="AG134" s="94">
        <v>0</v>
      </c>
      <c r="AH134" s="94">
        <v>0</v>
      </c>
      <c r="AI134" s="94">
        <v>0</v>
      </c>
      <c r="AJ134" s="94">
        <v>0</v>
      </c>
      <c r="AK134" s="28">
        <v>0</v>
      </c>
      <c r="AL134" s="32">
        <v>0</v>
      </c>
      <c r="AM134" s="32">
        <v>0</v>
      </c>
      <c r="AN134" s="32">
        <v>0</v>
      </c>
      <c r="AO134" s="32">
        <v>0</v>
      </c>
      <c r="AP134" s="32">
        <v>0</v>
      </c>
      <c r="AQ134" s="32">
        <v>0</v>
      </c>
      <c r="AR134" s="73">
        <v>0</v>
      </c>
      <c r="AS134" s="32">
        <v>0</v>
      </c>
      <c r="AT134" s="32">
        <v>0</v>
      </c>
      <c r="AU134" s="32">
        <v>0</v>
      </c>
      <c r="AV134" s="32">
        <v>0</v>
      </c>
      <c r="AW134" s="32">
        <v>0</v>
      </c>
      <c r="AX134" s="90">
        <v>0</v>
      </c>
      <c r="AY134" s="94">
        <v>0</v>
      </c>
      <c r="AZ134" s="94">
        <v>0</v>
      </c>
      <c r="BA134" s="94">
        <v>0</v>
      </c>
      <c r="BB134" s="94">
        <v>0</v>
      </c>
      <c r="BC134" s="94">
        <v>0</v>
      </c>
      <c r="BD134" s="94">
        <v>165.37799999999999</v>
      </c>
      <c r="BE134" s="94">
        <v>0</v>
      </c>
      <c r="BF134" s="94">
        <v>463.99</v>
      </c>
      <c r="BG134" s="94">
        <v>0</v>
      </c>
      <c r="BH134" s="94">
        <v>0</v>
      </c>
      <c r="BI134" s="94">
        <v>0</v>
      </c>
      <c r="BJ134" s="90">
        <v>0</v>
      </c>
      <c r="BK134" s="94">
        <v>0</v>
      </c>
      <c r="BL134" s="94">
        <v>0</v>
      </c>
      <c r="BM134" s="94">
        <v>0</v>
      </c>
      <c r="BN134" s="94">
        <v>1108.163</v>
      </c>
      <c r="BO134" s="94">
        <v>0</v>
      </c>
      <c r="BP134" s="94">
        <v>0</v>
      </c>
      <c r="BQ134" s="94">
        <v>0</v>
      </c>
      <c r="BR134" s="94">
        <v>0</v>
      </c>
      <c r="BS134" s="94">
        <v>0</v>
      </c>
      <c r="BT134" s="94">
        <v>0</v>
      </c>
      <c r="BU134" s="28">
        <v>0</v>
      </c>
      <c r="BV134" s="90">
        <v>0</v>
      </c>
      <c r="BW134" s="94">
        <v>0</v>
      </c>
      <c r="BX134" s="94">
        <v>0</v>
      </c>
      <c r="BY134" s="94">
        <v>0</v>
      </c>
      <c r="BZ134" s="94">
        <v>0</v>
      </c>
      <c r="CA134" s="94">
        <v>0</v>
      </c>
      <c r="CB134" s="94">
        <v>0</v>
      </c>
      <c r="CC134" s="94">
        <v>0</v>
      </c>
      <c r="CD134" s="94">
        <v>0</v>
      </c>
      <c r="CE134" s="94">
        <v>0</v>
      </c>
      <c r="CF134" s="94">
        <v>0</v>
      </c>
      <c r="CG134" s="94">
        <v>0</v>
      </c>
      <c r="CH134" s="90">
        <v>0</v>
      </c>
      <c r="CI134" s="94">
        <v>0</v>
      </c>
      <c r="CJ134" s="94">
        <v>0</v>
      </c>
      <c r="CK134" s="94">
        <v>0</v>
      </c>
      <c r="CL134" s="94">
        <v>0</v>
      </c>
      <c r="CM134" s="94">
        <v>0</v>
      </c>
      <c r="CN134" s="94">
        <v>0</v>
      </c>
      <c r="CO134" s="94">
        <v>0</v>
      </c>
      <c r="CP134" s="94">
        <v>0</v>
      </c>
      <c r="CQ134" s="94">
        <v>0</v>
      </c>
      <c r="CR134" s="94">
        <v>0</v>
      </c>
      <c r="CS134" s="28">
        <v>3788.54</v>
      </c>
      <c r="CT134" s="90">
        <v>567.85799999999995</v>
      </c>
      <c r="CU134" s="94">
        <v>0</v>
      </c>
      <c r="CV134" s="94">
        <v>0</v>
      </c>
      <c r="CW134" s="94">
        <v>0</v>
      </c>
      <c r="CX134" s="94">
        <v>0</v>
      </c>
      <c r="CY134" s="94">
        <v>0</v>
      </c>
      <c r="CZ134" s="94">
        <v>0</v>
      </c>
      <c r="DA134" s="94">
        <v>0</v>
      </c>
      <c r="DB134" s="94">
        <v>0</v>
      </c>
      <c r="DC134" s="94">
        <v>0</v>
      </c>
      <c r="DD134" s="94">
        <v>0</v>
      </c>
      <c r="DE134" s="28">
        <v>0</v>
      </c>
      <c r="DF134" s="90">
        <v>0</v>
      </c>
      <c r="DG134" s="94">
        <v>0</v>
      </c>
      <c r="DH134" s="94">
        <v>0</v>
      </c>
      <c r="DI134" s="94">
        <v>0</v>
      </c>
      <c r="DJ134" s="94">
        <v>0</v>
      </c>
      <c r="DK134" s="94">
        <v>0</v>
      </c>
      <c r="DL134" s="94">
        <v>0</v>
      </c>
      <c r="DM134" s="94">
        <v>0</v>
      </c>
      <c r="DN134" s="94">
        <v>0</v>
      </c>
      <c r="DO134" s="94">
        <v>0</v>
      </c>
      <c r="DP134" s="94">
        <v>0</v>
      </c>
      <c r="DQ134" s="28">
        <v>0</v>
      </c>
      <c r="DR134" s="90">
        <v>0</v>
      </c>
      <c r="DS134" s="94">
        <v>0</v>
      </c>
      <c r="DT134" s="94">
        <v>0</v>
      </c>
      <c r="DU134" s="94">
        <v>0</v>
      </c>
      <c r="DV134" s="94">
        <v>0</v>
      </c>
      <c r="DW134" s="94">
        <v>0</v>
      </c>
      <c r="DX134" s="94">
        <v>0</v>
      </c>
      <c r="DY134" s="94">
        <v>0</v>
      </c>
      <c r="DZ134" s="94">
        <v>0</v>
      </c>
      <c r="EA134" s="94">
        <v>0</v>
      </c>
      <c r="EB134" s="94">
        <v>0</v>
      </c>
      <c r="EC134" s="28">
        <v>0</v>
      </c>
      <c r="ED134" s="28">
        <f t="shared" si="415"/>
        <v>6093.9290000000001</v>
      </c>
      <c r="EE134" s="32"/>
    </row>
    <row r="135" spans="1:135">
      <c r="A135" s="191" t="s">
        <v>2399</v>
      </c>
      <c r="B135" s="76"/>
      <c r="N135" s="32">
        <v>0</v>
      </c>
      <c r="O135" s="32">
        <v>0</v>
      </c>
      <c r="P135" s="32">
        <v>0</v>
      </c>
      <c r="Q135" s="32">
        <v>0</v>
      </c>
      <c r="R135" s="32">
        <v>0</v>
      </c>
      <c r="S135" s="32">
        <v>0</v>
      </c>
      <c r="T135" s="32">
        <v>0</v>
      </c>
      <c r="U135" s="32">
        <v>0</v>
      </c>
      <c r="V135" s="32">
        <v>0</v>
      </c>
      <c r="W135" s="32">
        <v>0</v>
      </c>
      <c r="X135" s="32">
        <v>0</v>
      </c>
      <c r="Y135" s="32">
        <v>0</v>
      </c>
      <c r="Z135" s="90">
        <v>0</v>
      </c>
      <c r="AA135" s="94">
        <v>0</v>
      </c>
      <c r="AB135" s="94">
        <v>0</v>
      </c>
      <c r="AC135" s="94">
        <v>0</v>
      </c>
      <c r="AD135" s="94">
        <v>0</v>
      </c>
      <c r="AE135" s="94">
        <v>0</v>
      </c>
      <c r="AF135" s="94">
        <v>0</v>
      </c>
      <c r="AG135" s="94">
        <v>0</v>
      </c>
      <c r="AH135" s="94">
        <v>0</v>
      </c>
      <c r="AI135" s="94">
        <v>0</v>
      </c>
      <c r="AJ135" s="94">
        <v>0</v>
      </c>
      <c r="AK135" s="28">
        <v>0</v>
      </c>
      <c r="AL135" s="32">
        <v>0</v>
      </c>
      <c r="AM135" s="32">
        <v>0</v>
      </c>
      <c r="AN135" s="32">
        <v>0</v>
      </c>
      <c r="AO135" s="32">
        <v>1070.9079999999999</v>
      </c>
      <c r="AP135" s="32">
        <v>0</v>
      </c>
      <c r="AQ135" s="32">
        <v>0</v>
      </c>
      <c r="AR135" s="73">
        <v>0</v>
      </c>
      <c r="AS135" s="32">
        <v>0</v>
      </c>
      <c r="AT135" s="32">
        <v>0</v>
      </c>
      <c r="AU135" s="32">
        <v>0</v>
      </c>
      <c r="AV135" s="32">
        <v>0</v>
      </c>
      <c r="AW135" s="32">
        <v>0</v>
      </c>
      <c r="AX135" s="90">
        <v>0</v>
      </c>
      <c r="AY135" s="94">
        <v>0</v>
      </c>
      <c r="AZ135" s="94">
        <v>0</v>
      </c>
      <c r="BA135" s="94">
        <v>0</v>
      </c>
      <c r="BB135" s="94">
        <v>0</v>
      </c>
      <c r="BC135" s="94">
        <v>0</v>
      </c>
      <c r="BD135" s="94">
        <v>0</v>
      </c>
      <c r="BE135" s="94">
        <v>0</v>
      </c>
      <c r="BF135" s="94">
        <v>0</v>
      </c>
      <c r="BG135" s="94">
        <v>0</v>
      </c>
      <c r="BH135" s="94">
        <v>0</v>
      </c>
      <c r="BI135" s="94">
        <v>0</v>
      </c>
      <c r="BJ135" s="90">
        <v>0</v>
      </c>
      <c r="BK135" s="94">
        <v>0</v>
      </c>
      <c r="BL135" s="94">
        <v>0</v>
      </c>
      <c r="BM135" s="94">
        <v>0</v>
      </c>
      <c r="BN135" s="94">
        <v>0</v>
      </c>
      <c r="BO135" s="94">
        <v>0</v>
      </c>
      <c r="BP135" s="94">
        <v>0</v>
      </c>
      <c r="BQ135" s="94">
        <v>0</v>
      </c>
      <c r="BR135" s="94">
        <v>0</v>
      </c>
      <c r="BS135" s="94">
        <v>0</v>
      </c>
      <c r="BT135" s="94">
        <v>0</v>
      </c>
      <c r="BU135" s="28">
        <v>0</v>
      </c>
      <c r="BV135" s="90">
        <v>0</v>
      </c>
      <c r="BW135" s="94">
        <v>0</v>
      </c>
      <c r="BX135" s="94">
        <v>0</v>
      </c>
      <c r="BY135" s="94">
        <v>0</v>
      </c>
      <c r="BZ135" s="94">
        <v>0</v>
      </c>
      <c r="CA135" s="94">
        <v>0</v>
      </c>
      <c r="CB135" s="94">
        <v>0</v>
      </c>
      <c r="CC135" s="94">
        <v>0</v>
      </c>
      <c r="CD135" s="94">
        <v>0</v>
      </c>
      <c r="CE135" s="94">
        <v>0</v>
      </c>
      <c r="CF135" s="94">
        <v>0</v>
      </c>
      <c r="CG135" s="94">
        <v>0</v>
      </c>
      <c r="CH135" s="90">
        <v>0</v>
      </c>
      <c r="CI135" s="94">
        <v>0</v>
      </c>
      <c r="CJ135" s="94">
        <v>0</v>
      </c>
      <c r="CK135" s="94">
        <v>0</v>
      </c>
      <c r="CL135" s="94">
        <v>0</v>
      </c>
      <c r="CM135" s="94">
        <v>0</v>
      </c>
      <c r="CN135" s="94">
        <v>0</v>
      </c>
      <c r="CO135" s="94">
        <v>0</v>
      </c>
      <c r="CP135" s="94">
        <v>0</v>
      </c>
      <c r="CQ135" s="94">
        <v>0</v>
      </c>
      <c r="CR135" s="94">
        <v>0</v>
      </c>
      <c r="CS135" s="28">
        <v>0</v>
      </c>
      <c r="CT135" s="90">
        <v>0</v>
      </c>
      <c r="CU135" s="94">
        <v>0</v>
      </c>
      <c r="CV135" s="94">
        <v>0</v>
      </c>
      <c r="CW135" s="94">
        <v>0</v>
      </c>
      <c r="CX135" s="94">
        <v>0</v>
      </c>
      <c r="CY135" s="94">
        <v>0</v>
      </c>
      <c r="CZ135" s="94">
        <v>0</v>
      </c>
      <c r="DA135" s="94">
        <v>0</v>
      </c>
      <c r="DB135" s="94">
        <v>0</v>
      </c>
      <c r="DC135" s="94">
        <v>0</v>
      </c>
      <c r="DD135" s="94">
        <v>0</v>
      </c>
      <c r="DE135" s="28">
        <v>0</v>
      </c>
      <c r="DF135" s="90">
        <v>0</v>
      </c>
      <c r="DG135" s="94">
        <v>0</v>
      </c>
      <c r="DH135" s="94">
        <v>0</v>
      </c>
      <c r="DI135" s="94">
        <v>0</v>
      </c>
      <c r="DJ135" s="94">
        <v>0</v>
      </c>
      <c r="DK135" s="94">
        <v>0</v>
      </c>
      <c r="DL135" s="94">
        <v>0</v>
      </c>
      <c r="DM135" s="94">
        <v>0</v>
      </c>
      <c r="DN135" s="94">
        <v>0</v>
      </c>
      <c r="DO135" s="94">
        <v>0</v>
      </c>
      <c r="DP135" s="94">
        <v>0</v>
      </c>
      <c r="DQ135" s="28">
        <v>0</v>
      </c>
      <c r="DR135" s="90">
        <v>0</v>
      </c>
      <c r="DS135" s="94">
        <v>0</v>
      </c>
      <c r="DT135" s="94">
        <v>0</v>
      </c>
      <c r="DU135" s="94">
        <v>0</v>
      </c>
      <c r="DV135" s="94">
        <v>0</v>
      </c>
      <c r="DW135" s="94">
        <v>0</v>
      </c>
      <c r="DX135" s="94">
        <v>0</v>
      </c>
      <c r="DY135" s="94">
        <v>0</v>
      </c>
      <c r="DZ135" s="94">
        <v>0</v>
      </c>
      <c r="EA135" s="94">
        <v>0</v>
      </c>
      <c r="EB135" s="94">
        <v>0</v>
      </c>
      <c r="EC135" s="28">
        <v>0</v>
      </c>
      <c r="ED135" s="28">
        <f t="shared" si="415"/>
        <v>1070.9079999999999</v>
      </c>
      <c r="EE135" s="32"/>
    </row>
    <row r="136" spans="1:135">
      <c r="A136" t="s">
        <v>845</v>
      </c>
      <c r="B136" s="76"/>
      <c r="C136">
        <v>0</v>
      </c>
      <c r="D136">
        <v>0</v>
      </c>
      <c r="E136">
        <v>0</v>
      </c>
      <c r="F136">
        <v>0</v>
      </c>
      <c r="G136">
        <v>0</v>
      </c>
      <c r="H136">
        <v>0</v>
      </c>
      <c r="I136">
        <v>0</v>
      </c>
      <c r="J136">
        <v>0</v>
      </c>
      <c r="K136">
        <v>0</v>
      </c>
      <c r="L136">
        <v>0</v>
      </c>
      <c r="M136">
        <v>0</v>
      </c>
      <c r="N136" s="32">
        <v>0</v>
      </c>
      <c r="O136" s="32">
        <v>0</v>
      </c>
      <c r="P136" s="32">
        <v>0</v>
      </c>
      <c r="Q136" s="32">
        <v>0</v>
      </c>
      <c r="R136" s="32">
        <v>0</v>
      </c>
      <c r="S136" s="32">
        <v>0</v>
      </c>
      <c r="T136" s="32">
        <v>0</v>
      </c>
      <c r="U136" s="32">
        <v>0</v>
      </c>
      <c r="V136" s="32">
        <v>0</v>
      </c>
      <c r="W136" s="32">
        <v>0</v>
      </c>
      <c r="X136" s="32">
        <v>0</v>
      </c>
      <c r="Y136" s="32">
        <v>0</v>
      </c>
      <c r="Z136" s="90">
        <v>0</v>
      </c>
      <c r="AA136" s="94">
        <v>10740.018</v>
      </c>
      <c r="AB136" s="94">
        <v>286.74</v>
      </c>
      <c r="AC136" s="94">
        <v>0</v>
      </c>
      <c r="AD136" s="94">
        <v>247.98099999999999</v>
      </c>
      <c r="AE136" s="94">
        <v>62.5</v>
      </c>
      <c r="AF136" s="94">
        <v>0</v>
      </c>
      <c r="AG136" s="94">
        <v>0</v>
      </c>
      <c r="AH136" s="94">
        <v>4814.7825949999997</v>
      </c>
      <c r="AI136" s="94">
        <v>0</v>
      </c>
      <c r="AJ136" s="94">
        <v>308.13</v>
      </c>
      <c r="AK136" s="28">
        <v>7852.6350000000002</v>
      </c>
      <c r="AL136" s="32">
        <v>0</v>
      </c>
      <c r="AM136" s="32">
        <v>0</v>
      </c>
      <c r="AN136" s="32">
        <v>0</v>
      </c>
      <c r="AO136" s="32">
        <v>0</v>
      </c>
      <c r="AP136" s="32">
        <v>0</v>
      </c>
      <c r="AQ136" s="32">
        <v>0</v>
      </c>
      <c r="AR136" s="73">
        <v>797.07499999999993</v>
      </c>
      <c r="AS136" s="32">
        <v>755.57999999999993</v>
      </c>
      <c r="AT136" s="32">
        <v>0</v>
      </c>
      <c r="AU136" s="32">
        <v>0</v>
      </c>
      <c r="AV136" s="32">
        <v>0</v>
      </c>
      <c r="AW136" s="32">
        <v>0</v>
      </c>
      <c r="AX136" s="90">
        <v>0</v>
      </c>
      <c r="AY136" s="94">
        <v>0</v>
      </c>
      <c r="AZ136" s="94">
        <v>0</v>
      </c>
      <c r="BA136" s="94">
        <v>0</v>
      </c>
      <c r="BB136" s="94">
        <v>0</v>
      </c>
      <c r="BC136" s="94">
        <v>0</v>
      </c>
      <c r="BD136" s="94">
        <v>0</v>
      </c>
      <c r="BE136" s="94">
        <v>39.164000000000001</v>
      </c>
      <c r="BF136" s="94">
        <v>0</v>
      </c>
      <c r="BG136" s="94">
        <v>0</v>
      </c>
      <c r="BH136" s="94">
        <v>0</v>
      </c>
      <c r="BI136" s="94">
        <v>657.13199999999995</v>
      </c>
      <c r="BJ136" s="90">
        <v>453.94200000000001</v>
      </c>
      <c r="BK136" s="94">
        <v>0</v>
      </c>
      <c r="BL136" s="94">
        <v>702.97</v>
      </c>
      <c r="BM136" s="94">
        <v>0</v>
      </c>
      <c r="BN136" s="94">
        <v>0</v>
      </c>
      <c r="BO136" s="94">
        <v>0</v>
      </c>
      <c r="BP136" s="94">
        <v>0</v>
      </c>
      <c r="BQ136" s="94">
        <v>0</v>
      </c>
      <c r="BR136" s="94">
        <v>0</v>
      </c>
      <c r="BS136" s="94">
        <v>0</v>
      </c>
      <c r="BT136" s="94">
        <v>0</v>
      </c>
      <c r="BU136" s="28">
        <v>0</v>
      </c>
      <c r="BV136" s="90">
        <v>0</v>
      </c>
      <c r="BW136" s="94">
        <v>0</v>
      </c>
      <c r="BX136" s="94">
        <v>0</v>
      </c>
      <c r="BY136" s="94">
        <v>434.33100000000002</v>
      </c>
      <c r="BZ136" s="94">
        <v>215.14649999999997</v>
      </c>
      <c r="CA136" s="94">
        <v>0</v>
      </c>
      <c r="CB136" s="94">
        <v>0</v>
      </c>
      <c r="CC136" s="94">
        <v>0</v>
      </c>
      <c r="CD136" s="94">
        <v>0</v>
      </c>
      <c r="CE136" s="94">
        <v>18234.557000000001</v>
      </c>
      <c r="CF136" s="94">
        <v>0</v>
      </c>
      <c r="CG136" s="94">
        <v>0</v>
      </c>
      <c r="CH136" s="90">
        <v>0</v>
      </c>
      <c r="CI136" s="94">
        <v>0</v>
      </c>
      <c r="CJ136" s="94">
        <v>718.37699999999995</v>
      </c>
      <c r="CK136" s="94">
        <v>0</v>
      </c>
      <c r="CL136" s="94">
        <v>0</v>
      </c>
      <c r="CM136" s="94">
        <v>0</v>
      </c>
      <c r="CN136" s="94">
        <v>3.778</v>
      </c>
      <c r="CO136" s="94">
        <v>0</v>
      </c>
      <c r="CP136" s="94">
        <v>0</v>
      </c>
      <c r="CQ136" s="94">
        <v>605.00300000000004</v>
      </c>
      <c r="CR136" s="94">
        <v>0</v>
      </c>
      <c r="CS136" s="28">
        <v>1615.463</v>
      </c>
      <c r="CT136" s="90">
        <v>181.44900000000001</v>
      </c>
      <c r="CU136" s="94">
        <v>0</v>
      </c>
      <c r="CV136" s="94">
        <v>0</v>
      </c>
      <c r="CW136" s="94">
        <v>0</v>
      </c>
      <c r="CX136" s="94">
        <v>0</v>
      </c>
      <c r="CY136" s="94">
        <v>0</v>
      </c>
      <c r="CZ136" s="94">
        <v>0</v>
      </c>
      <c r="DA136" s="94">
        <v>0</v>
      </c>
      <c r="DB136" s="94">
        <v>0</v>
      </c>
      <c r="DC136" s="94">
        <v>0</v>
      </c>
      <c r="DD136" s="94">
        <v>0</v>
      </c>
      <c r="DE136" s="28">
        <v>0</v>
      </c>
      <c r="DF136" s="90">
        <v>0</v>
      </c>
      <c r="DG136" s="94">
        <v>0</v>
      </c>
      <c r="DH136" s="94">
        <v>0</v>
      </c>
      <c r="DI136" s="94">
        <v>0</v>
      </c>
      <c r="DJ136" s="94">
        <v>0</v>
      </c>
      <c r="DK136" s="94">
        <v>0</v>
      </c>
      <c r="DL136" s="94">
        <v>0</v>
      </c>
      <c r="DM136" s="94">
        <v>0</v>
      </c>
      <c r="DN136" s="94">
        <v>0</v>
      </c>
      <c r="DO136" s="94">
        <v>0</v>
      </c>
      <c r="DP136" s="94">
        <v>0</v>
      </c>
      <c r="DQ136" s="28">
        <v>0</v>
      </c>
      <c r="DR136" s="90">
        <v>0</v>
      </c>
      <c r="DS136" s="94">
        <v>0</v>
      </c>
      <c r="DT136" s="94">
        <v>0</v>
      </c>
      <c r="DU136" s="94">
        <v>0</v>
      </c>
      <c r="DV136" s="94">
        <v>0</v>
      </c>
      <c r="DW136" s="94">
        <v>0</v>
      </c>
      <c r="DX136" s="94">
        <v>0</v>
      </c>
      <c r="DY136" s="94">
        <v>0</v>
      </c>
      <c r="DZ136" s="94">
        <v>0</v>
      </c>
      <c r="EA136" s="94">
        <v>0</v>
      </c>
      <c r="EB136" s="94">
        <v>0</v>
      </c>
      <c r="EC136" s="28">
        <v>0</v>
      </c>
      <c r="ED136" s="28">
        <f t="shared" si="415"/>
        <v>49726.754094999997</v>
      </c>
      <c r="EE136" s="32"/>
    </row>
    <row r="137" spans="1:135">
      <c r="A137" t="s">
        <v>1467</v>
      </c>
      <c r="B137" s="76"/>
      <c r="C137">
        <v>0</v>
      </c>
      <c r="D137">
        <v>0</v>
      </c>
      <c r="E137">
        <v>0</v>
      </c>
      <c r="F137">
        <v>0</v>
      </c>
      <c r="G137">
        <v>0</v>
      </c>
      <c r="H137">
        <v>0</v>
      </c>
      <c r="I137">
        <v>0</v>
      </c>
      <c r="J137">
        <v>0</v>
      </c>
      <c r="K137">
        <v>0</v>
      </c>
      <c r="L137">
        <v>0</v>
      </c>
      <c r="M137">
        <v>0</v>
      </c>
      <c r="N137" s="32">
        <v>0</v>
      </c>
      <c r="O137" s="32">
        <v>0</v>
      </c>
      <c r="P137" s="32">
        <v>0</v>
      </c>
      <c r="Q137" s="32">
        <v>0</v>
      </c>
      <c r="R137" s="32">
        <v>0</v>
      </c>
      <c r="S137" s="32">
        <v>0</v>
      </c>
      <c r="T137" s="32">
        <v>0</v>
      </c>
      <c r="U137" s="32">
        <v>0</v>
      </c>
      <c r="V137" s="32">
        <v>0</v>
      </c>
      <c r="W137" s="32">
        <v>0</v>
      </c>
      <c r="X137" s="32">
        <v>1147.143</v>
      </c>
      <c r="Y137" s="32">
        <v>0</v>
      </c>
      <c r="Z137" s="90">
        <v>0</v>
      </c>
      <c r="AA137" s="94">
        <v>0</v>
      </c>
      <c r="AB137" s="94">
        <v>0</v>
      </c>
      <c r="AC137" s="94">
        <v>0</v>
      </c>
      <c r="AD137" s="94">
        <v>0</v>
      </c>
      <c r="AE137" s="94">
        <v>0</v>
      </c>
      <c r="AF137" s="94">
        <v>0</v>
      </c>
      <c r="AG137" s="94">
        <v>0</v>
      </c>
      <c r="AH137" s="94">
        <v>0</v>
      </c>
      <c r="AI137" s="94">
        <v>328.49810000000002</v>
      </c>
      <c r="AJ137" s="94">
        <v>0</v>
      </c>
      <c r="AK137" s="28">
        <v>0</v>
      </c>
      <c r="AL137" s="32">
        <v>1001.3423</v>
      </c>
      <c r="AM137" s="32">
        <v>0</v>
      </c>
      <c r="AN137" s="32">
        <v>0</v>
      </c>
      <c r="AO137" s="32">
        <v>0</v>
      </c>
      <c r="AP137" s="32">
        <v>671.27679999999998</v>
      </c>
      <c r="AQ137" s="32">
        <v>0</v>
      </c>
      <c r="AR137" s="73">
        <v>0</v>
      </c>
      <c r="AS137" s="32">
        <v>0</v>
      </c>
      <c r="AT137" s="32">
        <v>0</v>
      </c>
      <c r="AU137" s="32">
        <v>0</v>
      </c>
      <c r="AV137" s="32">
        <v>0</v>
      </c>
      <c r="AW137" s="32">
        <v>0</v>
      </c>
      <c r="AX137" s="90">
        <v>0</v>
      </c>
      <c r="AY137" s="94">
        <v>0</v>
      </c>
      <c r="AZ137" s="94">
        <v>0</v>
      </c>
      <c r="BA137" s="94">
        <v>56.801299</v>
      </c>
      <c r="BB137" s="94">
        <v>0</v>
      </c>
      <c r="BC137" s="94">
        <v>0</v>
      </c>
      <c r="BD137" s="94">
        <v>0</v>
      </c>
      <c r="BE137" s="94">
        <v>0</v>
      </c>
      <c r="BF137" s="94">
        <v>0</v>
      </c>
      <c r="BG137" s="94">
        <v>0</v>
      </c>
      <c r="BH137" s="94">
        <v>0</v>
      </c>
      <c r="BI137" s="94">
        <v>101.41999999999999</v>
      </c>
      <c r="BJ137" s="90">
        <v>0</v>
      </c>
      <c r="BK137" s="94">
        <v>216.7353</v>
      </c>
      <c r="BL137" s="94">
        <v>0</v>
      </c>
      <c r="BM137" s="94">
        <v>293.28500000000003</v>
      </c>
      <c r="BN137" s="94">
        <v>418.45800000000003</v>
      </c>
      <c r="BO137" s="94">
        <v>2583.7775999999999</v>
      </c>
      <c r="BP137" s="94">
        <v>0</v>
      </c>
      <c r="BQ137" s="94">
        <v>412.01799999999997</v>
      </c>
      <c r="BR137" s="94">
        <v>0</v>
      </c>
      <c r="BS137" s="94">
        <v>0</v>
      </c>
      <c r="BT137" s="94">
        <v>222.15299999999999</v>
      </c>
      <c r="BU137" s="28">
        <v>0</v>
      </c>
      <c r="BV137" s="90">
        <v>0</v>
      </c>
      <c r="BW137" s="94">
        <v>0</v>
      </c>
      <c r="BX137" s="94">
        <v>0</v>
      </c>
      <c r="BY137" s="94">
        <v>3210.1129999999998</v>
      </c>
      <c r="BZ137" s="94">
        <v>0</v>
      </c>
      <c r="CA137" s="94">
        <v>0</v>
      </c>
      <c r="CB137" s="94">
        <v>0</v>
      </c>
      <c r="CC137" s="94">
        <v>1810.877</v>
      </c>
      <c r="CD137" s="94">
        <v>8336.1400000000012</v>
      </c>
      <c r="CE137" s="94">
        <v>578.19499999999994</v>
      </c>
      <c r="CF137" s="94">
        <v>2033.03</v>
      </c>
      <c r="CG137" s="94">
        <v>5882.8849999999993</v>
      </c>
      <c r="CH137" s="90">
        <v>5888.9090000000006</v>
      </c>
      <c r="CI137" s="94">
        <v>0</v>
      </c>
      <c r="CJ137" s="94">
        <v>0</v>
      </c>
      <c r="CK137" s="94">
        <v>0</v>
      </c>
      <c r="CL137" s="94">
        <v>0</v>
      </c>
      <c r="CM137" s="94">
        <v>0</v>
      </c>
      <c r="CN137" s="94">
        <v>0</v>
      </c>
      <c r="CO137" s="94">
        <v>5118.5829999999996</v>
      </c>
      <c r="CP137" s="94">
        <v>0</v>
      </c>
      <c r="CQ137" s="94">
        <v>4488.7729999999992</v>
      </c>
      <c r="CR137" s="94">
        <v>9018.7540000000008</v>
      </c>
      <c r="CS137" s="28">
        <v>14961.152</v>
      </c>
      <c r="CT137" s="90">
        <v>0</v>
      </c>
      <c r="CU137" s="94">
        <v>0</v>
      </c>
      <c r="CV137" s="94">
        <v>0</v>
      </c>
      <c r="CW137" s="94">
        <v>7840.1760000000004</v>
      </c>
      <c r="CX137" s="94">
        <v>0</v>
      </c>
      <c r="CY137" s="94">
        <v>0</v>
      </c>
      <c r="CZ137" s="94">
        <v>0</v>
      </c>
      <c r="DA137" s="94">
        <v>3093.6210000000001</v>
      </c>
      <c r="DB137" s="94">
        <v>0</v>
      </c>
      <c r="DC137" s="94">
        <v>0</v>
      </c>
      <c r="DD137" s="94">
        <v>0</v>
      </c>
      <c r="DE137" s="28">
        <v>3977.1149999999998</v>
      </c>
      <c r="DF137" s="90">
        <v>0</v>
      </c>
      <c r="DG137" s="94">
        <v>0</v>
      </c>
      <c r="DH137" s="94">
        <v>0</v>
      </c>
      <c r="DI137" s="94">
        <v>0</v>
      </c>
      <c r="DJ137" s="94">
        <v>0</v>
      </c>
      <c r="DK137" s="94">
        <v>0</v>
      </c>
      <c r="DL137" s="94">
        <v>0</v>
      </c>
      <c r="DM137" s="94">
        <v>0</v>
      </c>
      <c r="DN137" s="94">
        <v>0</v>
      </c>
      <c r="DO137" s="94">
        <v>0</v>
      </c>
      <c r="DP137" s="94">
        <v>0</v>
      </c>
      <c r="DQ137" s="28">
        <v>0</v>
      </c>
      <c r="DR137" s="90">
        <v>0</v>
      </c>
      <c r="DS137" s="94">
        <v>0</v>
      </c>
      <c r="DT137" s="94">
        <v>0</v>
      </c>
      <c r="DU137" s="94">
        <v>0</v>
      </c>
      <c r="DV137" s="94">
        <v>0</v>
      </c>
      <c r="DW137" s="94">
        <v>0</v>
      </c>
      <c r="DX137" s="94">
        <v>0</v>
      </c>
      <c r="DY137" s="94">
        <v>0</v>
      </c>
      <c r="DZ137" s="94">
        <v>0</v>
      </c>
      <c r="EA137" s="94">
        <v>0</v>
      </c>
      <c r="EB137" s="94">
        <v>0</v>
      </c>
      <c r="EC137" s="28">
        <v>0</v>
      </c>
      <c r="ED137" s="28">
        <f t="shared" si="415"/>
        <v>83691.231399000011</v>
      </c>
      <c r="EE137" s="32"/>
    </row>
    <row r="138" spans="1:135">
      <c r="A138" t="s">
        <v>910</v>
      </c>
      <c r="B138" s="76"/>
      <c r="C138">
        <v>0</v>
      </c>
      <c r="D138">
        <v>0</v>
      </c>
      <c r="E138">
        <v>0</v>
      </c>
      <c r="F138">
        <v>0</v>
      </c>
      <c r="G138">
        <v>0</v>
      </c>
      <c r="H138">
        <v>0</v>
      </c>
      <c r="I138">
        <v>0</v>
      </c>
      <c r="J138">
        <v>0</v>
      </c>
      <c r="K138">
        <v>0</v>
      </c>
      <c r="L138">
        <v>0</v>
      </c>
      <c r="M138">
        <v>0</v>
      </c>
      <c r="N138" s="32">
        <v>0</v>
      </c>
      <c r="O138" s="32">
        <v>0</v>
      </c>
      <c r="P138" s="32">
        <v>0</v>
      </c>
      <c r="Q138" s="32">
        <v>0</v>
      </c>
      <c r="R138" s="32">
        <v>0</v>
      </c>
      <c r="S138" s="32">
        <v>0</v>
      </c>
      <c r="T138" s="32">
        <v>0</v>
      </c>
      <c r="U138" s="32">
        <v>0</v>
      </c>
      <c r="V138" s="32">
        <v>0</v>
      </c>
      <c r="W138" s="32">
        <v>0</v>
      </c>
      <c r="X138" s="32">
        <v>0</v>
      </c>
      <c r="Y138" s="32">
        <v>0</v>
      </c>
      <c r="Z138" s="90">
        <v>0</v>
      </c>
      <c r="AA138" s="94">
        <v>0</v>
      </c>
      <c r="AB138" s="94">
        <v>0</v>
      </c>
      <c r="AC138" s="94">
        <v>0</v>
      </c>
      <c r="AD138" s="94">
        <v>0</v>
      </c>
      <c r="AE138" s="94">
        <v>0</v>
      </c>
      <c r="AF138" s="94">
        <v>0</v>
      </c>
      <c r="AG138" s="94">
        <v>0</v>
      </c>
      <c r="AH138" s="94">
        <v>0</v>
      </c>
      <c r="AI138" s="94">
        <v>0</v>
      </c>
      <c r="AJ138" s="94">
        <v>0</v>
      </c>
      <c r="AK138" s="28">
        <v>0</v>
      </c>
      <c r="AL138" s="32">
        <v>0</v>
      </c>
      <c r="AM138" s="32">
        <v>0</v>
      </c>
      <c r="AN138" s="32">
        <v>0</v>
      </c>
      <c r="AO138" s="32">
        <v>0</v>
      </c>
      <c r="AP138" s="32">
        <v>0</v>
      </c>
      <c r="AQ138" s="32">
        <v>0</v>
      </c>
      <c r="AR138" s="73">
        <v>0</v>
      </c>
      <c r="AS138" s="32">
        <v>0</v>
      </c>
      <c r="AT138" s="32">
        <v>0</v>
      </c>
      <c r="AU138" s="32">
        <v>0</v>
      </c>
      <c r="AV138" s="32">
        <v>0</v>
      </c>
      <c r="AW138" s="32">
        <v>0</v>
      </c>
      <c r="AX138" s="90">
        <v>0</v>
      </c>
      <c r="AY138" s="94">
        <v>0</v>
      </c>
      <c r="AZ138" s="94">
        <v>0</v>
      </c>
      <c r="BA138" s="94">
        <v>0</v>
      </c>
      <c r="BB138" s="94">
        <v>0</v>
      </c>
      <c r="BC138" s="94">
        <v>0</v>
      </c>
      <c r="BD138" s="94">
        <v>0</v>
      </c>
      <c r="BE138" s="94">
        <v>0</v>
      </c>
      <c r="BF138" s="94">
        <v>0</v>
      </c>
      <c r="BG138" s="94">
        <v>0</v>
      </c>
      <c r="BH138" s="94">
        <v>0</v>
      </c>
      <c r="BI138" s="94">
        <v>0</v>
      </c>
      <c r="BJ138" s="90">
        <v>0</v>
      </c>
      <c r="BK138" s="94">
        <v>0</v>
      </c>
      <c r="BL138" s="94">
        <v>0</v>
      </c>
      <c r="BM138" s="94">
        <v>0</v>
      </c>
      <c r="BN138" s="94">
        <v>0</v>
      </c>
      <c r="BO138" s="94">
        <v>0</v>
      </c>
      <c r="BP138" s="94">
        <v>0</v>
      </c>
      <c r="BQ138" s="94">
        <v>0</v>
      </c>
      <c r="BR138" s="94">
        <v>0</v>
      </c>
      <c r="BS138" s="94">
        <v>0</v>
      </c>
      <c r="BT138" s="94">
        <v>0</v>
      </c>
      <c r="BU138" s="28">
        <v>0</v>
      </c>
      <c r="BV138" s="90">
        <v>0</v>
      </c>
      <c r="BW138" s="94">
        <v>0</v>
      </c>
      <c r="BX138" s="94">
        <v>0</v>
      </c>
      <c r="BY138" s="94">
        <v>0</v>
      </c>
      <c r="BZ138" s="94">
        <v>0</v>
      </c>
      <c r="CA138" s="94">
        <v>0</v>
      </c>
      <c r="CB138" s="94">
        <v>3492.6400000000003</v>
      </c>
      <c r="CC138" s="94">
        <v>0</v>
      </c>
      <c r="CD138" s="94">
        <v>0</v>
      </c>
      <c r="CE138" s="94">
        <v>0</v>
      </c>
      <c r="CF138" s="94">
        <v>0</v>
      </c>
      <c r="CG138" s="94">
        <v>0</v>
      </c>
      <c r="CH138" s="90">
        <v>0</v>
      </c>
      <c r="CI138" s="94">
        <v>0</v>
      </c>
      <c r="CJ138" s="94">
        <v>0</v>
      </c>
      <c r="CK138" s="94">
        <v>0</v>
      </c>
      <c r="CL138" s="94">
        <v>0</v>
      </c>
      <c r="CM138" s="94">
        <v>0</v>
      </c>
      <c r="CN138" s="94">
        <v>0</v>
      </c>
      <c r="CO138" s="94">
        <v>0</v>
      </c>
      <c r="CP138" s="94">
        <v>0</v>
      </c>
      <c r="CQ138" s="94">
        <v>0</v>
      </c>
      <c r="CR138" s="94">
        <v>0</v>
      </c>
      <c r="CS138" s="28">
        <v>0</v>
      </c>
      <c r="CT138" s="90">
        <v>0</v>
      </c>
      <c r="CU138" s="94">
        <v>0</v>
      </c>
      <c r="CV138" s="94">
        <v>0</v>
      </c>
      <c r="CW138" s="94">
        <v>0</v>
      </c>
      <c r="CX138" s="94">
        <v>0</v>
      </c>
      <c r="CY138" s="94">
        <v>0</v>
      </c>
      <c r="CZ138" s="94">
        <v>0</v>
      </c>
      <c r="DA138" s="94">
        <v>0</v>
      </c>
      <c r="DB138" s="94">
        <v>0</v>
      </c>
      <c r="DC138" s="94">
        <v>0</v>
      </c>
      <c r="DD138" s="94">
        <v>0</v>
      </c>
      <c r="DE138" s="28">
        <v>0</v>
      </c>
      <c r="DF138" s="90">
        <v>0</v>
      </c>
      <c r="DG138" s="94">
        <v>0</v>
      </c>
      <c r="DH138" s="94">
        <v>0</v>
      </c>
      <c r="DI138" s="94">
        <v>0</v>
      </c>
      <c r="DJ138" s="94">
        <v>0</v>
      </c>
      <c r="DK138" s="94">
        <v>0</v>
      </c>
      <c r="DL138" s="94">
        <v>0</v>
      </c>
      <c r="DM138" s="94">
        <v>0</v>
      </c>
      <c r="DN138" s="94">
        <v>0</v>
      </c>
      <c r="DO138" s="94">
        <v>0</v>
      </c>
      <c r="DP138" s="94">
        <v>0</v>
      </c>
      <c r="DQ138" s="28">
        <v>0</v>
      </c>
      <c r="DR138" s="90">
        <v>0</v>
      </c>
      <c r="DS138" s="94">
        <v>0</v>
      </c>
      <c r="DT138" s="94">
        <v>0</v>
      </c>
      <c r="DU138" s="94">
        <v>0</v>
      </c>
      <c r="DV138" s="94">
        <v>0</v>
      </c>
      <c r="DW138" s="94">
        <v>0</v>
      </c>
      <c r="DX138" s="94">
        <v>0</v>
      </c>
      <c r="DY138" s="94">
        <v>0</v>
      </c>
      <c r="DZ138" s="94">
        <v>0</v>
      </c>
      <c r="EA138" s="94">
        <v>0</v>
      </c>
      <c r="EB138" s="94">
        <v>0</v>
      </c>
      <c r="EC138" s="28">
        <v>0</v>
      </c>
      <c r="ED138" s="28">
        <f t="shared" si="415"/>
        <v>3492.6400000000003</v>
      </c>
      <c r="EE138" s="32"/>
    </row>
    <row r="139" spans="1:135">
      <c r="A139" t="s">
        <v>911</v>
      </c>
      <c r="B139" s="76"/>
      <c r="C139">
        <v>0</v>
      </c>
      <c r="D139">
        <v>0</v>
      </c>
      <c r="E139">
        <v>0</v>
      </c>
      <c r="F139">
        <v>0</v>
      </c>
      <c r="G139">
        <v>0</v>
      </c>
      <c r="H139">
        <v>0</v>
      </c>
      <c r="I139">
        <v>0</v>
      </c>
      <c r="J139">
        <v>0</v>
      </c>
      <c r="K139">
        <v>0</v>
      </c>
      <c r="L139">
        <v>0</v>
      </c>
      <c r="M139">
        <v>0</v>
      </c>
      <c r="N139" s="32">
        <v>0</v>
      </c>
      <c r="O139" s="32">
        <v>0</v>
      </c>
      <c r="P139" s="32">
        <v>0</v>
      </c>
      <c r="Q139" s="32">
        <v>0</v>
      </c>
      <c r="R139" s="32">
        <v>0</v>
      </c>
      <c r="S139" s="32">
        <v>0</v>
      </c>
      <c r="T139" s="32">
        <v>0</v>
      </c>
      <c r="U139" s="32">
        <v>0</v>
      </c>
      <c r="V139" s="32">
        <v>0</v>
      </c>
      <c r="W139" s="32">
        <v>3023.404</v>
      </c>
      <c r="X139" s="32">
        <v>0</v>
      </c>
      <c r="Y139" s="32">
        <v>704.82999999999993</v>
      </c>
      <c r="Z139" s="90">
        <v>0</v>
      </c>
      <c r="AA139" s="94">
        <v>3164.7289999999998</v>
      </c>
      <c r="AB139" s="94">
        <v>4531.3450000000003</v>
      </c>
      <c r="AC139" s="94">
        <v>0</v>
      </c>
      <c r="AD139" s="94">
        <v>0</v>
      </c>
      <c r="AE139" s="94">
        <v>0</v>
      </c>
      <c r="AF139" s="94">
        <v>1603.701</v>
      </c>
      <c r="AG139" s="94">
        <v>0</v>
      </c>
      <c r="AH139" s="94">
        <v>0</v>
      </c>
      <c r="AI139" s="94">
        <v>0</v>
      </c>
      <c r="AJ139" s="94">
        <v>0</v>
      </c>
      <c r="AK139" s="28">
        <v>1043.6750000000002</v>
      </c>
      <c r="AL139" s="32">
        <v>2.7655000000000003</v>
      </c>
      <c r="AM139" s="32">
        <v>0</v>
      </c>
      <c r="AN139" s="32">
        <v>0</v>
      </c>
      <c r="AO139" s="32">
        <v>0</v>
      </c>
      <c r="AP139" s="32">
        <v>0</v>
      </c>
      <c r="AQ139" s="32">
        <v>925.77599999999995</v>
      </c>
      <c r="AR139" s="73">
        <v>0</v>
      </c>
      <c r="AS139" s="32">
        <v>682.14300000000003</v>
      </c>
      <c r="AT139" s="32">
        <v>0</v>
      </c>
      <c r="AU139" s="32">
        <v>0</v>
      </c>
      <c r="AV139" s="32">
        <v>0</v>
      </c>
      <c r="AW139" s="32">
        <v>0</v>
      </c>
      <c r="AX139" s="90">
        <v>0</v>
      </c>
      <c r="AY139" s="94">
        <v>0</v>
      </c>
      <c r="AZ139" s="94">
        <v>0</v>
      </c>
      <c r="BA139" s="94">
        <v>0</v>
      </c>
      <c r="BB139" s="94">
        <v>0</v>
      </c>
      <c r="BC139" s="94">
        <v>1490.43</v>
      </c>
      <c r="BD139" s="94">
        <v>0</v>
      </c>
      <c r="BE139" s="94">
        <v>2354.404</v>
      </c>
      <c r="BF139" s="94">
        <v>2856.049</v>
      </c>
      <c r="BG139" s="94">
        <v>490.20729999999998</v>
      </c>
      <c r="BH139" s="94">
        <v>9742.2000000000007</v>
      </c>
      <c r="BI139" s="94">
        <v>1542.3739999999998</v>
      </c>
      <c r="BJ139" s="90">
        <v>256.01299999999998</v>
      </c>
      <c r="BK139" s="94">
        <v>2021.0410999999999</v>
      </c>
      <c r="BL139" s="94">
        <v>0</v>
      </c>
      <c r="BM139" s="94">
        <v>2470.498</v>
      </c>
      <c r="BN139" s="94">
        <v>0</v>
      </c>
      <c r="BO139" s="94">
        <v>8231.5529999999999</v>
      </c>
      <c r="BP139" s="94">
        <v>2716.1930000000002</v>
      </c>
      <c r="BQ139" s="94">
        <v>3257.3599999999997</v>
      </c>
      <c r="BR139" s="94">
        <v>2940.4160000000002</v>
      </c>
      <c r="BS139" s="94">
        <v>3168.12</v>
      </c>
      <c r="BT139" s="94">
        <v>1121.1489999999999</v>
      </c>
      <c r="BU139" s="28">
        <v>4553.0389999999998</v>
      </c>
      <c r="BV139" s="90">
        <v>2275.2640000000001</v>
      </c>
      <c r="BW139" s="94">
        <v>0</v>
      </c>
      <c r="BX139" s="94">
        <v>3688.2939999999999</v>
      </c>
      <c r="BY139" s="94">
        <v>148.91300000000001</v>
      </c>
      <c r="BZ139" s="94">
        <v>15375.797</v>
      </c>
      <c r="CA139" s="94">
        <v>1738.152</v>
      </c>
      <c r="CB139" s="94">
        <v>10403.196999999998</v>
      </c>
      <c r="CC139" s="94">
        <v>6922.8359999999993</v>
      </c>
      <c r="CD139" s="94">
        <v>3736.451</v>
      </c>
      <c r="CE139" s="94">
        <v>63.747999999999998</v>
      </c>
      <c r="CF139" s="94">
        <v>2800.848</v>
      </c>
      <c r="CG139" s="94">
        <v>2523.366</v>
      </c>
      <c r="CH139" s="90">
        <v>8945.0299999999988</v>
      </c>
      <c r="CI139" s="94">
        <v>0</v>
      </c>
      <c r="CJ139" s="94">
        <v>27841.048638</v>
      </c>
      <c r="CK139" s="94">
        <v>1890.2369999999999</v>
      </c>
      <c r="CL139" s="94">
        <v>0</v>
      </c>
      <c r="CM139" s="94">
        <v>4740.5479999999998</v>
      </c>
      <c r="CN139" s="94">
        <v>8774.496000000001</v>
      </c>
      <c r="CO139" s="94">
        <v>0</v>
      </c>
      <c r="CP139" s="94">
        <v>105.07599999999999</v>
      </c>
      <c r="CQ139" s="94">
        <v>3093.2240000000002</v>
      </c>
      <c r="CR139" s="94">
        <v>1511.028</v>
      </c>
      <c r="CS139" s="28">
        <v>24663.956000000002</v>
      </c>
      <c r="CT139" s="90">
        <v>3568.3869999999997</v>
      </c>
      <c r="CU139" s="94">
        <v>0</v>
      </c>
      <c r="CV139" s="94">
        <v>0</v>
      </c>
      <c r="CW139" s="94">
        <v>0</v>
      </c>
      <c r="CX139" s="94">
        <v>0</v>
      </c>
      <c r="CY139" s="94">
        <v>0</v>
      </c>
      <c r="CZ139" s="94">
        <v>0</v>
      </c>
      <c r="DA139" s="94">
        <v>0</v>
      </c>
      <c r="DB139" s="94">
        <v>0</v>
      </c>
      <c r="DC139" s="94">
        <v>0</v>
      </c>
      <c r="DD139" s="94">
        <v>0</v>
      </c>
      <c r="DE139" s="28">
        <v>0</v>
      </c>
      <c r="DF139" s="90">
        <v>0</v>
      </c>
      <c r="DG139" s="94">
        <v>0</v>
      </c>
      <c r="DH139" s="94">
        <v>0</v>
      </c>
      <c r="DI139" s="94">
        <v>0</v>
      </c>
      <c r="DJ139" s="94">
        <v>0</v>
      </c>
      <c r="DK139" s="94">
        <v>0</v>
      </c>
      <c r="DL139" s="94">
        <v>0</v>
      </c>
      <c r="DM139" s="94">
        <v>0</v>
      </c>
      <c r="DN139" s="94">
        <v>0</v>
      </c>
      <c r="DO139" s="94">
        <v>0</v>
      </c>
      <c r="DP139" s="94">
        <v>0</v>
      </c>
      <c r="DQ139" s="28">
        <v>0</v>
      </c>
      <c r="DR139" s="90">
        <v>0</v>
      </c>
      <c r="DS139" s="94">
        <v>0</v>
      </c>
      <c r="DT139" s="94">
        <v>0</v>
      </c>
      <c r="DU139" s="94">
        <v>0</v>
      </c>
      <c r="DV139" s="94">
        <v>0</v>
      </c>
      <c r="DW139" s="94">
        <v>0</v>
      </c>
      <c r="DX139" s="94">
        <v>0</v>
      </c>
      <c r="DY139" s="94">
        <v>0</v>
      </c>
      <c r="DZ139" s="94">
        <v>0</v>
      </c>
      <c r="EA139" s="94">
        <v>0</v>
      </c>
      <c r="EB139" s="94">
        <v>0</v>
      </c>
      <c r="EC139" s="28">
        <v>0</v>
      </c>
      <c r="ED139" s="28">
        <f t="shared" si="415"/>
        <v>199703.31153799998</v>
      </c>
      <c r="EE139" s="32"/>
    </row>
    <row r="140" spans="1:135">
      <c r="A140" s="219" t="s">
        <v>1576</v>
      </c>
      <c r="B140" s="76"/>
      <c r="C140">
        <v>0</v>
      </c>
      <c r="D140">
        <v>0</v>
      </c>
      <c r="E140">
        <v>0</v>
      </c>
      <c r="F140">
        <v>0</v>
      </c>
      <c r="G140">
        <v>0</v>
      </c>
      <c r="H140">
        <v>0</v>
      </c>
      <c r="I140">
        <v>0</v>
      </c>
      <c r="J140">
        <v>0</v>
      </c>
      <c r="K140">
        <v>0</v>
      </c>
      <c r="L140">
        <v>0</v>
      </c>
      <c r="M140">
        <v>0</v>
      </c>
      <c r="N140" s="32">
        <v>0</v>
      </c>
      <c r="O140" s="32">
        <v>0</v>
      </c>
      <c r="P140" s="32">
        <v>0</v>
      </c>
      <c r="Q140" s="32">
        <v>0</v>
      </c>
      <c r="R140" s="32">
        <v>0</v>
      </c>
      <c r="S140" s="32">
        <v>0</v>
      </c>
      <c r="T140" s="32">
        <v>0</v>
      </c>
      <c r="U140" s="32">
        <v>0</v>
      </c>
      <c r="V140" s="32">
        <v>0</v>
      </c>
      <c r="W140" s="32">
        <v>0</v>
      </c>
      <c r="X140" s="32">
        <v>0</v>
      </c>
      <c r="Y140" s="32">
        <v>0</v>
      </c>
      <c r="Z140" s="90">
        <v>0</v>
      </c>
      <c r="AA140" s="94">
        <v>0</v>
      </c>
      <c r="AB140" s="94">
        <v>0</v>
      </c>
      <c r="AC140" s="94">
        <v>0</v>
      </c>
      <c r="AD140" s="94">
        <v>0</v>
      </c>
      <c r="AE140" s="94">
        <v>0</v>
      </c>
      <c r="AF140" s="94">
        <v>8491.2900000000009</v>
      </c>
      <c r="AG140" s="94">
        <v>0</v>
      </c>
      <c r="AH140" s="94">
        <v>0</v>
      </c>
      <c r="AI140" s="94">
        <v>0</v>
      </c>
      <c r="AJ140" s="94">
        <v>0</v>
      </c>
      <c r="AK140" s="28">
        <v>0</v>
      </c>
      <c r="AL140" s="32">
        <v>0</v>
      </c>
      <c r="AM140" s="32">
        <v>0</v>
      </c>
      <c r="AN140" s="32">
        <v>0</v>
      </c>
      <c r="AO140" s="32">
        <v>0</v>
      </c>
      <c r="AP140" s="32">
        <v>0</v>
      </c>
      <c r="AQ140" s="32">
        <v>0</v>
      </c>
      <c r="AR140" s="73">
        <v>0</v>
      </c>
      <c r="AS140" s="32">
        <v>0</v>
      </c>
      <c r="AT140" s="32">
        <v>0</v>
      </c>
      <c r="AU140" s="32">
        <v>0</v>
      </c>
      <c r="AV140" s="32">
        <v>0</v>
      </c>
      <c r="AW140" s="32">
        <v>0</v>
      </c>
      <c r="AX140" s="90">
        <v>0</v>
      </c>
      <c r="AY140" s="94">
        <v>0</v>
      </c>
      <c r="AZ140" s="94">
        <v>0</v>
      </c>
      <c r="BA140" s="94">
        <v>0</v>
      </c>
      <c r="BB140" s="94">
        <v>0</v>
      </c>
      <c r="BC140" s="94">
        <v>0</v>
      </c>
      <c r="BD140" s="94">
        <v>174.94800000000001</v>
      </c>
      <c r="BE140" s="94">
        <v>354.01400000000001</v>
      </c>
      <c r="BF140" s="94">
        <v>0</v>
      </c>
      <c r="BG140" s="94">
        <v>0</v>
      </c>
      <c r="BH140" s="94">
        <v>0</v>
      </c>
      <c r="BI140" s="94">
        <v>0</v>
      </c>
      <c r="BJ140" s="90">
        <v>0</v>
      </c>
      <c r="BK140" s="94">
        <v>1103.846</v>
      </c>
      <c r="BL140" s="94">
        <v>0</v>
      </c>
      <c r="BM140" s="94">
        <v>0</v>
      </c>
      <c r="BN140" s="94">
        <v>0</v>
      </c>
      <c r="BO140" s="94">
        <v>0</v>
      </c>
      <c r="BP140" s="94">
        <v>0</v>
      </c>
      <c r="BQ140" s="94">
        <v>0</v>
      </c>
      <c r="BR140" s="94">
        <v>0</v>
      </c>
      <c r="BS140" s="94">
        <v>0</v>
      </c>
      <c r="BT140" s="94">
        <v>0</v>
      </c>
      <c r="BU140" s="28">
        <v>0</v>
      </c>
      <c r="BV140" s="90">
        <v>0</v>
      </c>
      <c r="BW140" s="94">
        <v>777.32399999999996</v>
      </c>
      <c r="BX140" s="94">
        <v>0</v>
      </c>
      <c r="BY140" s="94">
        <v>0</v>
      </c>
      <c r="BZ140" s="94">
        <v>0</v>
      </c>
      <c r="CA140" s="94">
        <v>0</v>
      </c>
      <c r="CB140" s="94">
        <v>0</v>
      </c>
      <c r="CC140" s="94">
        <v>0</v>
      </c>
      <c r="CD140" s="94">
        <v>0</v>
      </c>
      <c r="CE140" s="94">
        <v>0</v>
      </c>
      <c r="CF140" s="94">
        <v>0</v>
      </c>
      <c r="CG140" s="94">
        <v>0</v>
      </c>
      <c r="CH140" s="90">
        <v>0</v>
      </c>
      <c r="CI140" s="94">
        <v>0</v>
      </c>
      <c r="CJ140" s="94">
        <v>0</v>
      </c>
      <c r="CK140" s="94">
        <v>0</v>
      </c>
      <c r="CL140" s="94">
        <v>0</v>
      </c>
      <c r="CM140" s="94">
        <v>0</v>
      </c>
      <c r="CN140" s="94">
        <v>0</v>
      </c>
      <c r="CO140" s="94">
        <v>0</v>
      </c>
      <c r="CP140" s="94">
        <v>0</v>
      </c>
      <c r="CQ140" s="94">
        <v>0</v>
      </c>
      <c r="CR140" s="94">
        <v>0</v>
      </c>
      <c r="CS140" s="28">
        <v>0</v>
      </c>
      <c r="CT140" s="90">
        <v>215.54900000000001</v>
      </c>
      <c r="CU140" s="94">
        <v>0</v>
      </c>
      <c r="CV140" s="94">
        <v>0</v>
      </c>
      <c r="CW140" s="94">
        <v>0</v>
      </c>
      <c r="CX140" s="94">
        <v>0</v>
      </c>
      <c r="CY140" s="94">
        <v>0</v>
      </c>
      <c r="CZ140" s="94">
        <v>0</v>
      </c>
      <c r="DA140" s="94">
        <v>0</v>
      </c>
      <c r="DB140" s="94">
        <v>0</v>
      </c>
      <c r="DC140" s="94">
        <v>0</v>
      </c>
      <c r="DD140" s="94">
        <v>0</v>
      </c>
      <c r="DE140" s="28">
        <v>0</v>
      </c>
      <c r="DF140" s="90">
        <v>0</v>
      </c>
      <c r="DG140" s="94">
        <v>0</v>
      </c>
      <c r="DH140" s="94">
        <v>0</v>
      </c>
      <c r="DI140" s="94">
        <v>0</v>
      </c>
      <c r="DJ140" s="94">
        <v>0</v>
      </c>
      <c r="DK140" s="94">
        <v>0</v>
      </c>
      <c r="DL140" s="94">
        <v>0</v>
      </c>
      <c r="DM140" s="94">
        <v>0</v>
      </c>
      <c r="DN140" s="94">
        <v>0</v>
      </c>
      <c r="DO140" s="94">
        <v>0</v>
      </c>
      <c r="DP140" s="94">
        <v>0</v>
      </c>
      <c r="DQ140" s="28">
        <v>0</v>
      </c>
      <c r="DR140" s="90">
        <v>0</v>
      </c>
      <c r="DS140" s="94">
        <v>0</v>
      </c>
      <c r="DT140" s="94">
        <v>0</v>
      </c>
      <c r="DU140" s="94">
        <v>0</v>
      </c>
      <c r="DV140" s="94">
        <v>0</v>
      </c>
      <c r="DW140" s="94">
        <v>0</v>
      </c>
      <c r="DX140" s="94">
        <v>0</v>
      </c>
      <c r="DY140" s="94">
        <v>0</v>
      </c>
      <c r="DZ140" s="94">
        <v>0</v>
      </c>
      <c r="EA140" s="94">
        <v>0</v>
      </c>
      <c r="EB140" s="94">
        <v>0</v>
      </c>
      <c r="EC140" s="28">
        <v>0</v>
      </c>
      <c r="ED140" s="28">
        <f t="shared" si="415"/>
        <v>11116.971000000001</v>
      </c>
      <c r="EE140" s="32"/>
    </row>
    <row r="141" spans="1:135">
      <c r="A141" t="s">
        <v>719</v>
      </c>
      <c r="B141" s="76"/>
      <c r="C141">
        <v>0</v>
      </c>
      <c r="D141">
        <v>0</v>
      </c>
      <c r="E141">
        <v>0</v>
      </c>
      <c r="F141">
        <v>0</v>
      </c>
      <c r="G141">
        <v>0</v>
      </c>
      <c r="H141">
        <v>0</v>
      </c>
      <c r="I141">
        <v>0</v>
      </c>
      <c r="J141">
        <v>0</v>
      </c>
      <c r="K141">
        <v>0</v>
      </c>
      <c r="L141">
        <v>0</v>
      </c>
      <c r="M141">
        <v>0</v>
      </c>
      <c r="N141" s="32">
        <v>0</v>
      </c>
      <c r="O141" s="32">
        <v>0</v>
      </c>
      <c r="P141" s="32">
        <v>0</v>
      </c>
      <c r="Q141" s="32">
        <v>0</v>
      </c>
      <c r="R141" s="32">
        <v>0</v>
      </c>
      <c r="S141" s="32">
        <v>0</v>
      </c>
      <c r="T141" s="32">
        <v>0</v>
      </c>
      <c r="U141" s="32">
        <v>0</v>
      </c>
      <c r="V141" s="32">
        <v>0</v>
      </c>
      <c r="W141" s="32">
        <v>0</v>
      </c>
      <c r="X141" s="32">
        <v>0</v>
      </c>
      <c r="Y141" s="32">
        <v>0</v>
      </c>
      <c r="Z141" s="90">
        <v>0</v>
      </c>
      <c r="AA141" s="94">
        <v>0</v>
      </c>
      <c r="AB141" s="94">
        <v>0</v>
      </c>
      <c r="AC141" s="94">
        <v>0</v>
      </c>
      <c r="AD141" s="94">
        <v>0</v>
      </c>
      <c r="AE141" s="94">
        <v>0</v>
      </c>
      <c r="AF141" s="94">
        <v>0</v>
      </c>
      <c r="AG141" s="94">
        <v>0</v>
      </c>
      <c r="AH141" s="94">
        <v>0</v>
      </c>
      <c r="AI141" s="94">
        <v>0</v>
      </c>
      <c r="AJ141" s="94">
        <v>0</v>
      </c>
      <c r="AK141" s="28">
        <v>0</v>
      </c>
      <c r="AL141" s="32">
        <v>0</v>
      </c>
      <c r="AM141" s="32">
        <v>0</v>
      </c>
      <c r="AN141" s="32">
        <v>0</v>
      </c>
      <c r="AO141" s="32">
        <v>0</v>
      </c>
      <c r="AP141" s="32">
        <v>0</v>
      </c>
      <c r="AQ141" s="32">
        <v>0</v>
      </c>
      <c r="AR141" s="73">
        <v>0</v>
      </c>
      <c r="AS141" s="32">
        <v>0</v>
      </c>
      <c r="AT141" s="32">
        <v>0</v>
      </c>
      <c r="AU141" s="32">
        <v>0</v>
      </c>
      <c r="AV141" s="32">
        <v>0</v>
      </c>
      <c r="AW141" s="32">
        <v>0</v>
      </c>
      <c r="AX141" s="90">
        <v>0</v>
      </c>
      <c r="AY141" s="94">
        <v>0</v>
      </c>
      <c r="AZ141" s="94">
        <v>0</v>
      </c>
      <c r="BA141" s="94">
        <v>0</v>
      </c>
      <c r="BB141" s="94">
        <v>0</v>
      </c>
      <c r="BC141" s="94">
        <v>0</v>
      </c>
      <c r="BD141" s="94">
        <v>0</v>
      </c>
      <c r="BE141" s="94">
        <v>0</v>
      </c>
      <c r="BF141" s="94">
        <v>0</v>
      </c>
      <c r="BG141" s="94">
        <v>0</v>
      </c>
      <c r="BH141" s="94">
        <v>0</v>
      </c>
      <c r="BI141" s="94">
        <v>0</v>
      </c>
      <c r="BJ141" s="90">
        <v>0</v>
      </c>
      <c r="BK141" s="94">
        <v>0</v>
      </c>
      <c r="BL141" s="94">
        <v>0</v>
      </c>
      <c r="BM141" s="94">
        <v>0</v>
      </c>
      <c r="BN141" s="94">
        <v>0</v>
      </c>
      <c r="BO141" s="94">
        <v>0</v>
      </c>
      <c r="BP141" s="94">
        <v>0</v>
      </c>
      <c r="BQ141" s="94">
        <v>0</v>
      </c>
      <c r="BR141" s="94">
        <v>0</v>
      </c>
      <c r="BS141" s="94">
        <v>0</v>
      </c>
      <c r="BT141" s="94">
        <v>692.36300000000006</v>
      </c>
      <c r="BU141" s="28">
        <v>0</v>
      </c>
      <c r="BV141" s="90">
        <v>0</v>
      </c>
      <c r="BW141" s="94">
        <v>0</v>
      </c>
      <c r="BX141" s="94">
        <v>0</v>
      </c>
      <c r="BY141" s="94">
        <v>0</v>
      </c>
      <c r="BZ141" s="94">
        <v>0</v>
      </c>
      <c r="CA141" s="94">
        <v>0</v>
      </c>
      <c r="CB141" s="94">
        <v>0</v>
      </c>
      <c r="CC141" s="94">
        <v>0</v>
      </c>
      <c r="CD141" s="94">
        <v>505.79999999999995</v>
      </c>
      <c r="CE141" s="94">
        <v>0</v>
      </c>
      <c r="CF141" s="94">
        <v>692.36500000000001</v>
      </c>
      <c r="CG141" s="94">
        <v>554.14942399999995</v>
      </c>
      <c r="CH141" s="90">
        <v>0</v>
      </c>
      <c r="CI141" s="94">
        <v>0</v>
      </c>
      <c r="CJ141" s="94">
        <v>0</v>
      </c>
      <c r="CK141" s="94">
        <v>0</v>
      </c>
      <c r="CL141" s="94">
        <v>343.27</v>
      </c>
      <c r="CM141" s="94">
        <v>0</v>
      </c>
      <c r="CN141" s="94">
        <v>0</v>
      </c>
      <c r="CO141" s="94">
        <v>0</v>
      </c>
      <c r="CP141" s="94">
        <v>0</v>
      </c>
      <c r="CQ141" s="94">
        <v>0</v>
      </c>
      <c r="CR141" s="94">
        <v>5793.6639999999998</v>
      </c>
      <c r="CS141" s="28">
        <v>494.48</v>
      </c>
      <c r="CT141" s="90">
        <v>0</v>
      </c>
      <c r="CU141" s="94">
        <v>0</v>
      </c>
      <c r="CV141" s="94">
        <v>0</v>
      </c>
      <c r="CW141" s="94">
        <v>0</v>
      </c>
      <c r="CX141" s="94">
        <v>0</v>
      </c>
      <c r="CY141" s="94">
        <v>0</v>
      </c>
      <c r="CZ141" s="94">
        <v>0</v>
      </c>
      <c r="DA141" s="94">
        <v>0</v>
      </c>
      <c r="DB141" s="94">
        <v>0</v>
      </c>
      <c r="DC141" s="94">
        <v>260.41000000000003</v>
      </c>
      <c r="DD141" s="94">
        <v>0</v>
      </c>
      <c r="DE141" s="28">
        <v>0</v>
      </c>
      <c r="DF141" s="90">
        <v>0</v>
      </c>
      <c r="DG141" s="94">
        <v>0</v>
      </c>
      <c r="DH141" s="94">
        <v>0</v>
      </c>
      <c r="DI141" s="94">
        <v>0</v>
      </c>
      <c r="DJ141" s="94">
        <v>0</v>
      </c>
      <c r="DK141" s="94">
        <v>0</v>
      </c>
      <c r="DL141" s="94">
        <v>0</v>
      </c>
      <c r="DM141" s="94">
        <v>0</v>
      </c>
      <c r="DN141" s="94">
        <v>0</v>
      </c>
      <c r="DO141" s="94">
        <v>0</v>
      </c>
      <c r="DP141" s="94">
        <v>0</v>
      </c>
      <c r="DQ141" s="28">
        <v>0</v>
      </c>
      <c r="DR141" s="90">
        <v>0</v>
      </c>
      <c r="DS141" s="94">
        <v>0</v>
      </c>
      <c r="DT141" s="94">
        <v>0</v>
      </c>
      <c r="DU141" s="94">
        <v>0</v>
      </c>
      <c r="DV141" s="94">
        <v>0</v>
      </c>
      <c r="DW141" s="94">
        <v>0</v>
      </c>
      <c r="DX141" s="94">
        <v>0</v>
      </c>
      <c r="DY141" s="94">
        <v>0</v>
      </c>
      <c r="DZ141" s="94">
        <v>0</v>
      </c>
      <c r="EA141" s="94">
        <v>0</v>
      </c>
      <c r="EB141" s="94">
        <v>0</v>
      </c>
      <c r="EC141" s="28">
        <v>0</v>
      </c>
      <c r="ED141" s="28">
        <f t="shared" si="415"/>
        <v>9336.5014239999982</v>
      </c>
      <c r="EE141" s="32"/>
    </row>
    <row r="142" spans="1:135">
      <c r="A142" t="s">
        <v>1735</v>
      </c>
      <c r="B142" s="76"/>
      <c r="C142">
        <v>0</v>
      </c>
      <c r="D142">
        <v>0</v>
      </c>
      <c r="E142">
        <v>0</v>
      </c>
      <c r="F142">
        <v>0</v>
      </c>
      <c r="G142">
        <v>0</v>
      </c>
      <c r="H142">
        <v>0</v>
      </c>
      <c r="I142">
        <v>0</v>
      </c>
      <c r="J142">
        <v>0</v>
      </c>
      <c r="K142">
        <v>0</v>
      </c>
      <c r="L142">
        <v>0</v>
      </c>
      <c r="M142">
        <v>0</v>
      </c>
      <c r="N142" s="32">
        <v>0</v>
      </c>
      <c r="O142" s="32">
        <v>0</v>
      </c>
      <c r="P142" s="32">
        <v>0</v>
      </c>
      <c r="Q142" s="32">
        <v>0</v>
      </c>
      <c r="R142" s="32">
        <v>0</v>
      </c>
      <c r="S142" s="32">
        <v>0</v>
      </c>
      <c r="T142" s="32">
        <v>0</v>
      </c>
      <c r="U142" s="32">
        <v>0</v>
      </c>
      <c r="V142" s="32">
        <v>0</v>
      </c>
      <c r="W142" s="32">
        <v>0</v>
      </c>
      <c r="X142" s="32">
        <v>4398.9160000000002</v>
      </c>
      <c r="Y142" s="32">
        <v>0</v>
      </c>
      <c r="Z142" s="90">
        <v>1437.5929999999998</v>
      </c>
      <c r="AA142" s="94">
        <v>0</v>
      </c>
      <c r="AB142" s="94">
        <v>0</v>
      </c>
      <c r="AC142" s="94">
        <v>0</v>
      </c>
      <c r="AD142" s="94">
        <v>0</v>
      </c>
      <c r="AE142" s="94">
        <v>0</v>
      </c>
      <c r="AF142" s="94">
        <v>201.5</v>
      </c>
      <c r="AG142" s="94">
        <v>0</v>
      </c>
      <c r="AH142" s="94">
        <v>0</v>
      </c>
      <c r="AI142" s="94">
        <v>316.524</v>
      </c>
      <c r="AJ142" s="94">
        <v>0</v>
      </c>
      <c r="AK142" s="28">
        <v>380.75</v>
      </c>
      <c r="AL142" s="32">
        <v>0</v>
      </c>
      <c r="AM142" s="32">
        <v>0</v>
      </c>
      <c r="AN142" s="32">
        <v>0</v>
      </c>
      <c r="AO142" s="32">
        <v>0</v>
      </c>
      <c r="AP142" s="32">
        <v>0</v>
      </c>
      <c r="AQ142" s="32">
        <v>0</v>
      </c>
      <c r="AR142" s="73">
        <v>0</v>
      </c>
      <c r="AS142" s="32">
        <v>1900.1510000000001</v>
      </c>
      <c r="AT142" s="32">
        <v>2000</v>
      </c>
      <c r="AU142" s="32">
        <v>0</v>
      </c>
      <c r="AV142" s="32">
        <v>173.35499999999999</v>
      </c>
      <c r="AW142" s="32">
        <v>0</v>
      </c>
      <c r="AX142" s="90">
        <v>0</v>
      </c>
      <c r="AY142" s="94">
        <v>0</v>
      </c>
      <c r="AZ142" s="94">
        <v>0</v>
      </c>
      <c r="BA142" s="94">
        <v>1618.9949999999999</v>
      </c>
      <c r="BB142" s="94">
        <v>0</v>
      </c>
      <c r="BC142" s="94">
        <v>0</v>
      </c>
      <c r="BD142" s="94">
        <v>0</v>
      </c>
      <c r="BE142" s="94">
        <v>0</v>
      </c>
      <c r="BF142" s="94">
        <v>0</v>
      </c>
      <c r="BG142" s="94">
        <v>1921.78</v>
      </c>
      <c r="BH142" s="94">
        <v>0</v>
      </c>
      <c r="BI142" s="94">
        <v>1005</v>
      </c>
      <c r="BJ142" s="90">
        <v>3218.06</v>
      </c>
      <c r="BK142" s="94">
        <v>0</v>
      </c>
      <c r="BL142" s="94">
        <v>0</v>
      </c>
      <c r="BM142" s="94">
        <v>0</v>
      </c>
      <c r="BN142" s="94">
        <v>348.9</v>
      </c>
      <c r="BO142" s="94">
        <v>307.16300000000001</v>
      </c>
      <c r="BP142" s="94">
        <v>0</v>
      </c>
      <c r="BQ142" s="94">
        <v>0</v>
      </c>
      <c r="BR142" s="94">
        <v>0</v>
      </c>
      <c r="BS142" s="94">
        <v>0</v>
      </c>
      <c r="BT142" s="94">
        <v>1489.0909999999999</v>
      </c>
      <c r="BU142" s="28">
        <v>3479.5259999999998</v>
      </c>
      <c r="BV142" s="90">
        <v>0</v>
      </c>
      <c r="BW142" s="94">
        <v>0</v>
      </c>
      <c r="BX142" s="94">
        <v>0</v>
      </c>
      <c r="BY142" s="94">
        <v>0</v>
      </c>
      <c r="BZ142" s="94">
        <v>0</v>
      </c>
      <c r="CA142" s="94">
        <v>409.69124999999997</v>
      </c>
      <c r="CB142" s="94">
        <v>645.77700000000004</v>
      </c>
      <c r="CC142" s="94">
        <v>0</v>
      </c>
      <c r="CD142" s="94">
        <v>0</v>
      </c>
      <c r="CE142" s="94">
        <v>0</v>
      </c>
      <c r="CF142" s="94">
        <v>0</v>
      </c>
      <c r="CG142" s="94">
        <v>0</v>
      </c>
      <c r="CH142" s="90">
        <v>0</v>
      </c>
      <c r="CI142" s="94">
        <v>553.02203699999995</v>
      </c>
      <c r="CJ142" s="94">
        <v>997.625</v>
      </c>
      <c r="CK142" s="94">
        <v>0</v>
      </c>
      <c r="CL142" s="94">
        <v>0</v>
      </c>
      <c r="CM142" s="94">
        <v>763.79600000000005</v>
      </c>
      <c r="CN142" s="94">
        <v>171.095</v>
      </c>
      <c r="CO142" s="94">
        <v>1374.357</v>
      </c>
      <c r="CP142" s="94">
        <v>86.400999999999996</v>
      </c>
      <c r="CQ142" s="94">
        <v>2010.3430000000001</v>
      </c>
      <c r="CR142" s="94">
        <v>11656.175999999999</v>
      </c>
      <c r="CS142" s="28">
        <v>230.34200000000001</v>
      </c>
      <c r="CT142" s="90">
        <v>0</v>
      </c>
      <c r="CU142" s="94">
        <v>0</v>
      </c>
      <c r="CV142" s="94">
        <v>0</v>
      </c>
      <c r="CW142" s="94">
        <v>0</v>
      </c>
      <c r="CX142" s="94">
        <v>0</v>
      </c>
      <c r="CY142" s="94">
        <v>0</v>
      </c>
      <c r="CZ142" s="94">
        <v>0</v>
      </c>
      <c r="DA142" s="94">
        <v>0</v>
      </c>
      <c r="DB142" s="94">
        <v>0</v>
      </c>
      <c r="DC142" s="94">
        <v>0</v>
      </c>
      <c r="DD142" s="94">
        <v>0</v>
      </c>
      <c r="DE142" s="28">
        <v>0</v>
      </c>
      <c r="DF142" s="90">
        <v>0</v>
      </c>
      <c r="DG142" s="94">
        <v>0</v>
      </c>
      <c r="DH142" s="94">
        <v>0</v>
      </c>
      <c r="DI142" s="94">
        <v>0</v>
      </c>
      <c r="DJ142" s="94">
        <v>0</v>
      </c>
      <c r="DK142" s="94">
        <v>0</v>
      </c>
      <c r="DL142" s="94">
        <v>0</v>
      </c>
      <c r="DM142" s="94">
        <v>0</v>
      </c>
      <c r="DN142" s="94">
        <v>0</v>
      </c>
      <c r="DO142" s="94">
        <v>0</v>
      </c>
      <c r="DP142" s="94">
        <v>0</v>
      </c>
      <c r="DQ142" s="28">
        <v>0</v>
      </c>
      <c r="DR142" s="90">
        <v>0</v>
      </c>
      <c r="DS142" s="94">
        <v>0</v>
      </c>
      <c r="DT142" s="94">
        <v>0</v>
      </c>
      <c r="DU142" s="94">
        <v>0</v>
      </c>
      <c r="DV142" s="94">
        <v>0</v>
      </c>
      <c r="DW142" s="94">
        <v>0</v>
      </c>
      <c r="DX142" s="94">
        <v>0</v>
      </c>
      <c r="DY142" s="94">
        <v>0</v>
      </c>
      <c r="DZ142" s="94">
        <v>0</v>
      </c>
      <c r="EA142" s="94">
        <v>0</v>
      </c>
      <c r="EB142" s="94">
        <v>0</v>
      </c>
      <c r="EC142" s="28">
        <v>0</v>
      </c>
      <c r="ED142" s="28">
        <f t="shared" si="415"/>
        <v>43095.929286999999</v>
      </c>
      <c r="EE142" s="32"/>
    </row>
    <row r="143" spans="1:135">
      <c r="A143" t="s">
        <v>1588</v>
      </c>
      <c r="B143" s="76"/>
      <c r="C143">
        <v>0</v>
      </c>
      <c r="D143">
        <v>0</v>
      </c>
      <c r="E143">
        <v>0</v>
      </c>
      <c r="F143">
        <v>0</v>
      </c>
      <c r="G143">
        <v>0</v>
      </c>
      <c r="H143">
        <v>0</v>
      </c>
      <c r="I143">
        <v>0</v>
      </c>
      <c r="J143">
        <v>0</v>
      </c>
      <c r="K143">
        <v>0</v>
      </c>
      <c r="L143">
        <v>0</v>
      </c>
      <c r="M143">
        <v>0</v>
      </c>
      <c r="N143" s="32">
        <v>0</v>
      </c>
      <c r="O143" s="32">
        <v>0</v>
      </c>
      <c r="P143" s="32">
        <v>0</v>
      </c>
      <c r="Q143" s="32">
        <v>0</v>
      </c>
      <c r="R143" s="32">
        <v>0</v>
      </c>
      <c r="S143" s="32">
        <v>0</v>
      </c>
      <c r="T143" s="32">
        <v>0</v>
      </c>
      <c r="U143" s="32">
        <v>0</v>
      </c>
      <c r="V143" s="32">
        <v>0</v>
      </c>
      <c r="W143" s="32">
        <v>0</v>
      </c>
      <c r="X143" s="32">
        <v>0</v>
      </c>
      <c r="Y143" s="32">
        <v>523.40000000000009</v>
      </c>
      <c r="Z143" s="90">
        <v>6100</v>
      </c>
      <c r="AA143" s="94">
        <v>0</v>
      </c>
      <c r="AB143" s="94">
        <v>0</v>
      </c>
      <c r="AC143" s="94">
        <v>0</v>
      </c>
      <c r="AD143" s="94">
        <v>0</v>
      </c>
      <c r="AE143" s="94">
        <v>0</v>
      </c>
      <c r="AF143" s="94">
        <v>1066.87375</v>
      </c>
      <c r="AG143" s="94">
        <v>963.14400000000001</v>
      </c>
      <c r="AH143" s="94">
        <v>0</v>
      </c>
      <c r="AI143" s="94">
        <v>0</v>
      </c>
      <c r="AJ143" s="94">
        <v>0</v>
      </c>
      <c r="AK143" s="28">
        <v>0</v>
      </c>
      <c r="AL143" s="32">
        <v>0</v>
      </c>
      <c r="AM143" s="32">
        <v>0</v>
      </c>
      <c r="AN143" s="32">
        <v>0</v>
      </c>
      <c r="AO143" s="32">
        <v>0</v>
      </c>
      <c r="AP143" s="32">
        <v>0</v>
      </c>
      <c r="AQ143" s="32">
        <v>0</v>
      </c>
      <c r="AR143" s="73">
        <v>0</v>
      </c>
      <c r="AS143" s="32">
        <v>0</v>
      </c>
      <c r="AT143" s="32">
        <v>0</v>
      </c>
      <c r="AU143" s="32">
        <v>0</v>
      </c>
      <c r="AV143" s="32">
        <v>0</v>
      </c>
      <c r="AW143" s="32">
        <v>212.02</v>
      </c>
      <c r="AX143" s="90">
        <v>0</v>
      </c>
      <c r="AY143" s="94">
        <v>0</v>
      </c>
      <c r="AZ143" s="94">
        <v>244.59200000000001</v>
      </c>
      <c r="BA143" s="94">
        <v>0</v>
      </c>
      <c r="BB143" s="94">
        <v>0</v>
      </c>
      <c r="BC143" s="94">
        <v>0</v>
      </c>
      <c r="BD143" s="94">
        <v>0</v>
      </c>
      <c r="BE143" s="94">
        <v>0</v>
      </c>
      <c r="BF143" s="94">
        <v>0</v>
      </c>
      <c r="BG143" s="94">
        <v>2728.438404</v>
      </c>
      <c r="BH143" s="94">
        <v>0</v>
      </c>
      <c r="BI143" s="94">
        <v>0</v>
      </c>
      <c r="BJ143" s="90">
        <v>0</v>
      </c>
      <c r="BK143" s="94">
        <v>0</v>
      </c>
      <c r="BL143" s="94">
        <v>0</v>
      </c>
      <c r="BM143" s="94">
        <v>602.17599999999993</v>
      </c>
      <c r="BN143" s="94">
        <v>1441.1560000000002</v>
      </c>
      <c r="BO143" s="94">
        <v>0</v>
      </c>
      <c r="BP143" s="94">
        <v>0</v>
      </c>
      <c r="BQ143" s="94">
        <v>0</v>
      </c>
      <c r="BR143" s="94">
        <v>0</v>
      </c>
      <c r="BS143" s="94">
        <v>0</v>
      </c>
      <c r="BT143" s="94">
        <v>0</v>
      </c>
      <c r="BU143" s="28">
        <v>900</v>
      </c>
      <c r="BV143" s="90">
        <v>0</v>
      </c>
      <c r="BW143" s="94">
        <v>0</v>
      </c>
      <c r="BX143" s="94">
        <v>607.76599999999996</v>
      </c>
      <c r="BY143" s="94">
        <v>0</v>
      </c>
      <c r="BZ143" s="94">
        <v>0</v>
      </c>
      <c r="CA143" s="94">
        <v>0</v>
      </c>
      <c r="CB143" s="94">
        <v>0</v>
      </c>
      <c r="CC143" s="94">
        <v>0</v>
      </c>
      <c r="CD143" s="94">
        <v>4799.3050000000003</v>
      </c>
      <c r="CE143" s="94">
        <v>0</v>
      </c>
      <c r="CF143" s="94">
        <v>0</v>
      </c>
      <c r="CG143" s="94">
        <v>372.55499999999995</v>
      </c>
      <c r="CH143" s="90">
        <v>0</v>
      </c>
      <c r="CI143" s="94">
        <v>0</v>
      </c>
      <c r="CJ143" s="94">
        <v>1917.59743</v>
      </c>
      <c r="CK143" s="94">
        <v>0</v>
      </c>
      <c r="CL143" s="94">
        <v>0</v>
      </c>
      <c r="CM143" s="94">
        <v>598.73500000000001</v>
      </c>
      <c r="CN143" s="94">
        <v>14430.657000000001</v>
      </c>
      <c r="CO143" s="94">
        <v>0</v>
      </c>
      <c r="CP143" s="94">
        <v>0</v>
      </c>
      <c r="CQ143" s="94">
        <v>3074.8339999999998</v>
      </c>
      <c r="CR143" s="94">
        <v>706.423</v>
      </c>
      <c r="CS143" s="28">
        <v>0</v>
      </c>
      <c r="CT143" s="90">
        <v>0</v>
      </c>
      <c r="CU143" s="94">
        <v>0</v>
      </c>
      <c r="CV143" s="94">
        <v>0</v>
      </c>
      <c r="CW143" s="94">
        <v>0</v>
      </c>
      <c r="CX143" s="94">
        <v>0</v>
      </c>
      <c r="CY143" s="94">
        <v>0</v>
      </c>
      <c r="CZ143" s="94">
        <v>0</v>
      </c>
      <c r="DA143" s="94">
        <v>0</v>
      </c>
      <c r="DB143" s="94">
        <v>0</v>
      </c>
      <c r="DC143" s="94">
        <v>0</v>
      </c>
      <c r="DD143" s="94">
        <v>0</v>
      </c>
      <c r="DE143" s="28">
        <v>0</v>
      </c>
      <c r="DF143" s="90">
        <v>0</v>
      </c>
      <c r="DG143" s="94">
        <v>0</v>
      </c>
      <c r="DH143" s="94">
        <v>0</v>
      </c>
      <c r="DI143" s="94">
        <v>0</v>
      </c>
      <c r="DJ143" s="94">
        <v>0</v>
      </c>
      <c r="DK143" s="94">
        <v>0</v>
      </c>
      <c r="DL143" s="94">
        <v>0</v>
      </c>
      <c r="DM143" s="94">
        <v>0</v>
      </c>
      <c r="DN143" s="94">
        <v>0</v>
      </c>
      <c r="DO143" s="94">
        <v>0</v>
      </c>
      <c r="DP143" s="94">
        <v>0</v>
      </c>
      <c r="DQ143" s="28">
        <v>0</v>
      </c>
      <c r="DR143" s="90">
        <v>0</v>
      </c>
      <c r="DS143" s="94">
        <v>0</v>
      </c>
      <c r="DT143" s="94">
        <v>0</v>
      </c>
      <c r="DU143" s="94">
        <v>0</v>
      </c>
      <c r="DV143" s="94">
        <v>0</v>
      </c>
      <c r="DW143" s="94">
        <v>0</v>
      </c>
      <c r="DX143" s="94">
        <v>0</v>
      </c>
      <c r="DY143" s="94">
        <v>0</v>
      </c>
      <c r="DZ143" s="94">
        <v>0</v>
      </c>
      <c r="EA143" s="94">
        <v>0</v>
      </c>
      <c r="EB143" s="94">
        <v>0</v>
      </c>
      <c r="EC143" s="28">
        <v>0</v>
      </c>
      <c r="ED143" s="28">
        <f t="shared" si="415"/>
        <v>41289.672584000007</v>
      </c>
      <c r="EE143" s="32"/>
    </row>
    <row r="144" spans="1:135">
      <c r="A144" t="s">
        <v>720</v>
      </c>
      <c r="B144" s="76"/>
      <c r="C144">
        <v>0</v>
      </c>
      <c r="D144">
        <v>0</v>
      </c>
      <c r="E144">
        <v>0</v>
      </c>
      <c r="F144">
        <v>0</v>
      </c>
      <c r="G144">
        <v>0</v>
      </c>
      <c r="H144">
        <v>0</v>
      </c>
      <c r="I144">
        <v>0</v>
      </c>
      <c r="J144">
        <v>0</v>
      </c>
      <c r="K144">
        <v>0</v>
      </c>
      <c r="L144">
        <v>0</v>
      </c>
      <c r="M144">
        <v>0</v>
      </c>
      <c r="N144" s="32">
        <v>0</v>
      </c>
      <c r="O144" s="32">
        <v>0</v>
      </c>
      <c r="P144" s="32">
        <v>0</v>
      </c>
      <c r="Q144" s="32">
        <v>0</v>
      </c>
      <c r="R144" s="32">
        <v>0</v>
      </c>
      <c r="S144" s="32">
        <v>0</v>
      </c>
      <c r="T144" s="32">
        <v>0</v>
      </c>
      <c r="U144" s="32">
        <v>0</v>
      </c>
      <c r="V144" s="32">
        <v>0</v>
      </c>
      <c r="W144" s="32">
        <v>0</v>
      </c>
      <c r="X144" s="32">
        <v>5009.335</v>
      </c>
      <c r="Y144" s="32">
        <v>36846</v>
      </c>
      <c r="Z144" s="90">
        <v>147.529</v>
      </c>
      <c r="AA144" s="94">
        <v>0</v>
      </c>
      <c r="AB144" s="94">
        <v>433.072</v>
      </c>
      <c r="AC144" s="94">
        <v>0</v>
      </c>
      <c r="AD144" s="94">
        <v>812.44500000000005</v>
      </c>
      <c r="AE144" s="94">
        <v>8564.1750000000011</v>
      </c>
      <c r="AF144" s="94">
        <v>892.62699999999995</v>
      </c>
      <c r="AG144" s="94">
        <v>0</v>
      </c>
      <c r="AH144" s="94">
        <v>0</v>
      </c>
      <c r="AI144" s="94">
        <v>5495.0199999999995</v>
      </c>
      <c r="AJ144" s="94">
        <v>2199.7550000000001</v>
      </c>
      <c r="AK144" s="28">
        <v>0</v>
      </c>
      <c r="AL144" s="32">
        <v>6803.7918</v>
      </c>
      <c r="AM144" s="32">
        <v>909.23500000000001</v>
      </c>
      <c r="AN144" s="32">
        <v>17952.955300000001</v>
      </c>
      <c r="AO144" s="32">
        <v>0</v>
      </c>
      <c r="AP144" s="32">
        <v>0</v>
      </c>
      <c r="AQ144" s="32">
        <v>1088.5480000000002</v>
      </c>
      <c r="AR144" s="73">
        <v>0</v>
      </c>
      <c r="AS144" s="32">
        <v>3277.2359999999999</v>
      </c>
      <c r="AT144" s="32">
        <v>0</v>
      </c>
      <c r="AU144" s="32">
        <v>846.24599999999998</v>
      </c>
      <c r="AV144" s="32">
        <v>0</v>
      </c>
      <c r="AW144" s="32">
        <v>0</v>
      </c>
      <c r="AX144" s="90">
        <v>0</v>
      </c>
      <c r="AY144" s="94">
        <v>711.27499999999998</v>
      </c>
      <c r="AZ144" s="94">
        <v>0</v>
      </c>
      <c r="BA144" s="94">
        <v>0</v>
      </c>
      <c r="BB144" s="94">
        <v>3109.8670000000002</v>
      </c>
      <c r="BC144" s="94">
        <v>0</v>
      </c>
      <c r="BD144" s="94">
        <v>3125.3085299999998</v>
      </c>
      <c r="BE144" s="94">
        <v>0</v>
      </c>
      <c r="BF144" s="94">
        <v>0</v>
      </c>
      <c r="BG144" s="94">
        <v>0</v>
      </c>
      <c r="BH144" s="94">
        <v>0</v>
      </c>
      <c r="BI144" s="94">
        <v>0</v>
      </c>
      <c r="BJ144" s="90">
        <v>1990</v>
      </c>
      <c r="BK144" s="94">
        <v>0</v>
      </c>
      <c r="BL144" s="94">
        <v>0</v>
      </c>
      <c r="BM144" s="94">
        <v>0</v>
      </c>
      <c r="BN144" s="94">
        <v>0</v>
      </c>
      <c r="BO144" s="94">
        <v>3321.95</v>
      </c>
      <c r="BP144" s="94">
        <v>0</v>
      </c>
      <c r="BQ144" s="94">
        <v>5634.83</v>
      </c>
      <c r="BR144" s="94">
        <v>0</v>
      </c>
      <c r="BS144" s="94">
        <v>0</v>
      </c>
      <c r="BT144" s="94">
        <v>0</v>
      </c>
      <c r="BU144" s="28">
        <v>315.904</v>
      </c>
      <c r="BV144" s="90">
        <v>0</v>
      </c>
      <c r="BW144" s="94">
        <v>587.21100000000001</v>
      </c>
      <c r="BX144" s="94">
        <v>6840.5069999999996</v>
      </c>
      <c r="BY144" s="94">
        <v>0</v>
      </c>
      <c r="BZ144" s="94">
        <v>0</v>
      </c>
      <c r="CA144" s="94">
        <v>0</v>
      </c>
      <c r="CB144" s="94">
        <v>945.6</v>
      </c>
      <c r="CC144" s="94">
        <v>3900.8100000000004</v>
      </c>
      <c r="CD144" s="94">
        <v>2329.9479999999999</v>
      </c>
      <c r="CE144" s="94">
        <v>15679.691000000001</v>
      </c>
      <c r="CF144" s="94">
        <v>8231.5319999999992</v>
      </c>
      <c r="CG144" s="94">
        <v>25913.743000000002</v>
      </c>
      <c r="CH144" s="90">
        <v>0</v>
      </c>
      <c r="CI144" s="94">
        <v>0</v>
      </c>
      <c r="CJ144" s="94">
        <v>12287.473999999998</v>
      </c>
      <c r="CK144" s="94">
        <v>5875.2239999999993</v>
      </c>
      <c r="CL144" s="94">
        <v>10584.626999999999</v>
      </c>
      <c r="CM144" s="94">
        <v>0</v>
      </c>
      <c r="CN144" s="94">
        <v>69292.963999999993</v>
      </c>
      <c r="CO144" s="94">
        <v>31594.114000000001</v>
      </c>
      <c r="CP144" s="94">
        <v>13453.88</v>
      </c>
      <c r="CQ144" s="94">
        <v>88668.878000000012</v>
      </c>
      <c r="CR144" s="94">
        <v>64464.917000000001</v>
      </c>
      <c r="CS144" s="28">
        <v>158366.00200000004</v>
      </c>
      <c r="CT144" s="90">
        <v>0</v>
      </c>
      <c r="CU144" s="94">
        <v>0</v>
      </c>
      <c r="CV144" s="94">
        <v>0</v>
      </c>
      <c r="CW144" s="94">
        <v>0</v>
      </c>
      <c r="CX144" s="94">
        <v>0</v>
      </c>
      <c r="CY144" s="94">
        <v>0</v>
      </c>
      <c r="CZ144" s="94">
        <v>0</v>
      </c>
      <c r="DA144" s="94">
        <v>0</v>
      </c>
      <c r="DB144" s="94">
        <v>0</v>
      </c>
      <c r="DC144" s="94">
        <v>0</v>
      </c>
      <c r="DD144" s="94">
        <v>0</v>
      </c>
      <c r="DE144" s="28">
        <v>0</v>
      </c>
      <c r="DF144" s="90">
        <v>0</v>
      </c>
      <c r="DG144" s="94">
        <v>0</v>
      </c>
      <c r="DH144" s="94">
        <v>0</v>
      </c>
      <c r="DI144" s="94">
        <v>0</v>
      </c>
      <c r="DJ144" s="94">
        <v>0</v>
      </c>
      <c r="DK144" s="94">
        <v>0</v>
      </c>
      <c r="DL144" s="94">
        <v>0</v>
      </c>
      <c r="DM144" s="94">
        <v>0</v>
      </c>
      <c r="DN144" s="94">
        <v>0</v>
      </c>
      <c r="DO144" s="94">
        <v>0</v>
      </c>
      <c r="DP144" s="94">
        <v>0</v>
      </c>
      <c r="DQ144" s="28">
        <v>0</v>
      </c>
      <c r="DR144" s="90">
        <v>0</v>
      </c>
      <c r="DS144" s="94">
        <v>0</v>
      </c>
      <c r="DT144" s="94">
        <v>0</v>
      </c>
      <c r="DU144" s="94">
        <v>0</v>
      </c>
      <c r="DV144" s="94">
        <v>0</v>
      </c>
      <c r="DW144" s="94">
        <v>0</v>
      </c>
      <c r="DX144" s="94">
        <v>0</v>
      </c>
      <c r="DY144" s="94">
        <v>0</v>
      </c>
      <c r="DZ144" s="94">
        <v>0</v>
      </c>
      <c r="EA144" s="94">
        <v>0</v>
      </c>
      <c r="EB144" s="94">
        <v>0</v>
      </c>
      <c r="EC144" s="28">
        <v>0</v>
      </c>
      <c r="ED144" s="28">
        <f t="shared" si="415"/>
        <v>628504.22663000005</v>
      </c>
      <c r="EE144" s="32"/>
    </row>
    <row r="145" spans="1:135">
      <c r="A145" t="s">
        <v>972</v>
      </c>
      <c r="B145" s="76"/>
      <c r="C145">
        <v>0</v>
      </c>
      <c r="D145">
        <v>0</v>
      </c>
      <c r="E145">
        <v>0</v>
      </c>
      <c r="F145">
        <v>0</v>
      </c>
      <c r="G145">
        <v>0</v>
      </c>
      <c r="H145">
        <v>0</v>
      </c>
      <c r="I145">
        <v>0</v>
      </c>
      <c r="J145">
        <v>0</v>
      </c>
      <c r="K145">
        <v>0</v>
      </c>
      <c r="L145">
        <v>0</v>
      </c>
      <c r="M145">
        <v>0</v>
      </c>
      <c r="N145" s="32">
        <v>0</v>
      </c>
      <c r="O145" s="32">
        <v>0</v>
      </c>
      <c r="P145" s="32">
        <v>0</v>
      </c>
      <c r="Q145" s="32">
        <v>0</v>
      </c>
      <c r="R145" s="32">
        <v>0</v>
      </c>
      <c r="S145" s="32">
        <v>0</v>
      </c>
      <c r="T145" s="32">
        <v>0</v>
      </c>
      <c r="U145" s="32">
        <v>0</v>
      </c>
      <c r="V145" s="32">
        <v>0</v>
      </c>
      <c r="W145" s="32">
        <v>0</v>
      </c>
      <c r="X145" s="32">
        <v>0</v>
      </c>
      <c r="Y145" s="32">
        <v>0</v>
      </c>
      <c r="Z145" s="90">
        <v>0</v>
      </c>
      <c r="AA145" s="94">
        <v>0</v>
      </c>
      <c r="AB145" s="94">
        <v>0</v>
      </c>
      <c r="AC145" s="94">
        <v>0</v>
      </c>
      <c r="AD145" s="94">
        <v>0</v>
      </c>
      <c r="AE145" s="94">
        <v>0</v>
      </c>
      <c r="AF145" s="94">
        <v>0</v>
      </c>
      <c r="AG145" s="94">
        <v>0</v>
      </c>
      <c r="AH145" s="94">
        <v>0</v>
      </c>
      <c r="AI145" s="94">
        <v>0</v>
      </c>
      <c r="AJ145" s="94">
        <v>0</v>
      </c>
      <c r="AK145" s="28">
        <v>0</v>
      </c>
      <c r="AL145" s="32">
        <v>0</v>
      </c>
      <c r="AM145" s="32">
        <v>0</v>
      </c>
      <c r="AN145" s="32">
        <v>0</v>
      </c>
      <c r="AO145" s="32">
        <v>0</v>
      </c>
      <c r="AP145" s="32">
        <v>0</v>
      </c>
      <c r="AQ145" s="32">
        <v>0</v>
      </c>
      <c r="AR145" s="73">
        <v>0</v>
      </c>
      <c r="AS145" s="32">
        <v>0</v>
      </c>
      <c r="AT145" s="32">
        <v>0</v>
      </c>
      <c r="AU145" s="32">
        <v>0</v>
      </c>
      <c r="AV145" s="32">
        <v>0</v>
      </c>
      <c r="AW145" s="32">
        <v>0</v>
      </c>
      <c r="AX145" s="90">
        <v>0</v>
      </c>
      <c r="AY145" s="94">
        <v>0</v>
      </c>
      <c r="AZ145" s="94">
        <v>0</v>
      </c>
      <c r="BA145" s="94">
        <v>0</v>
      </c>
      <c r="BB145" s="94">
        <v>0</v>
      </c>
      <c r="BC145" s="94">
        <v>0</v>
      </c>
      <c r="BD145" s="94">
        <v>0</v>
      </c>
      <c r="BE145" s="94">
        <v>181.185</v>
      </c>
      <c r="BF145" s="94">
        <v>119.27</v>
      </c>
      <c r="BG145" s="94">
        <v>0</v>
      </c>
      <c r="BH145" s="94">
        <v>0</v>
      </c>
      <c r="BI145" s="94">
        <v>0</v>
      </c>
      <c r="BJ145" s="90">
        <v>581.67100000000005</v>
      </c>
      <c r="BK145" s="94">
        <v>0</v>
      </c>
      <c r="BL145" s="94">
        <v>0</v>
      </c>
      <c r="BM145" s="94">
        <v>0</v>
      </c>
      <c r="BN145" s="94">
        <v>0</v>
      </c>
      <c r="BO145" s="94">
        <v>0</v>
      </c>
      <c r="BP145" s="94">
        <v>0</v>
      </c>
      <c r="BQ145" s="94">
        <v>0</v>
      </c>
      <c r="BR145" s="94">
        <v>0</v>
      </c>
      <c r="BS145" s="94">
        <v>0</v>
      </c>
      <c r="BT145" s="94">
        <v>0</v>
      </c>
      <c r="BU145" s="28">
        <v>0</v>
      </c>
      <c r="BV145" s="90">
        <v>0</v>
      </c>
      <c r="BW145" s="94">
        <v>0</v>
      </c>
      <c r="BX145" s="94">
        <v>0</v>
      </c>
      <c r="BY145" s="94">
        <v>0</v>
      </c>
      <c r="BZ145" s="94">
        <v>0</v>
      </c>
      <c r="CA145" s="94">
        <v>126.13500000000001</v>
      </c>
      <c r="CB145" s="94">
        <v>790.923</v>
      </c>
      <c r="CC145" s="94">
        <v>0</v>
      </c>
      <c r="CD145" s="94">
        <v>0</v>
      </c>
      <c r="CE145" s="94">
        <v>0</v>
      </c>
      <c r="CF145" s="94">
        <v>0</v>
      </c>
      <c r="CG145" s="94">
        <v>0</v>
      </c>
      <c r="CH145" s="90">
        <v>0</v>
      </c>
      <c r="CI145" s="94">
        <v>0</v>
      </c>
      <c r="CJ145" s="94">
        <v>0</v>
      </c>
      <c r="CK145" s="94">
        <v>0</v>
      </c>
      <c r="CL145" s="94">
        <v>0</v>
      </c>
      <c r="CM145" s="94">
        <v>0</v>
      </c>
      <c r="CN145" s="94">
        <v>0</v>
      </c>
      <c r="CO145" s="94">
        <v>0</v>
      </c>
      <c r="CP145" s="94">
        <v>0</v>
      </c>
      <c r="CQ145" s="94">
        <v>0</v>
      </c>
      <c r="CR145" s="94">
        <v>0</v>
      </c>
      <c r="CS145" s="28">
        <v>0</v>
      </c>
      <c r="CT145" s="90">
        <v>0</v>
      </c>
      <c r="CU145" s="94">
        <v>0</v>
      </c>
      <c r="CV145" s="94">
        <v>0</v>
      </c>
      <c r="CW145" s="94">
        <v>0</v>
      </c>
      <c r="CX145" s="94">
        <v>0</v>
      </c>
      <c r="CY145" s="94">
        <v>0</v>
      </c>
      <c r="CZ145" s="94">
        <v>0</v>
      </c>
      <c r="DA145" s="94">
        <v>0</v>
      </c>
      <c r="DB145" s="94">
        <v>0</v>
      </c>
      <c r="DC145" s="94">
        <v>0</v>
      </c>
      <c r="DD145" s="94">
        <v>0</v>
      </c>
      <c r="DE145" s="28">
        <v>0</v>
      </c>
      <c r="DF145" s="90">
        <v>0</v>
      </c>
      <c r="DG145" s="94">
        <v>0</v>
      </c>
      <c r="DH145" s="94">
        <v>0</v>
      </c>
      <c r="DI145" s="94">
        <v>0</v>
      </c>
      <c r="DJ145" s="94">
        <v>0</v>
      </c>
      <c r="DK145" s="94">
        <v>0</v>
      </c>
      <c r="DL145" s="94">
        <v>0</v>
      </c>
      <c r="DM145" s="94">
        <v>0</v>
      </c>
      <c r="DN145" s="94">
        <v>0</v>
      </c>
      <c r="DO145" s="94">
        <v>0</v>
      </c>
      <c r="DP145" s="94">
        <v>0</v>
      </c>
      <c r="DQ145" s="28">
        <v>0</v>
      </c>
      <c r="DR145" s="90">
        <v>0</v>
      </c>
      <c r="DS145" s="94">
        <v>0</v>
      </c>
      <c r="DT145" s="94">
        <v>0</v>
      </c>
      <c r="DU145" s="94">
        <v>0</v>
      </c>
      <c r="DV145" s="94">
        <v>0</v>
      </c>
      <c r="DW145" s="94">
        <v>0</v>
      </c>
      <c r="DX145" s="94">
        <v>0</v>
      </c>
      <c r="DY145" s="94">
        <v>0</v>
      </c>
      <c r="DZ145" s="94">
        <v>0</v>
      </c>
      <c r="EA145" s="94">
        <v>0</v>
      </c>
      <c r="EB145" s="94">
        <v>0</v>
      </c>
      <c r="EC145" s="28">
        <v>0</v>
      </c>
      <c r="ED145" s="28">
        <f t="shared" si="415"/>
        <v>1799.184</v>
      </c>
      <c r="EE145" s="32"/>
    </row>
    <row r="146" spans="1:135">
      <c r="A146" t="s">
        <v>640</v>
      </c>
      <c r="B146" s="76"/>
      <c r="C146">
        <v>0</v>
      </c>
      <c r="D146">
        <v>0</v>
      </c>
      <c r="E146">
        <v>0</v>
      </c>
      <c r="F146">
        <v>0</v>
      </c>
      <c r="G146">
        <v>0</v>
      </c>
      <c r="H146">
        <v>0</v>
      </c>
      <c r="I146">
        <v>0</v>
      </c>
      <c r="J146">
        <v>0</v>
      </c>
      <c r="K146">
        <v>0</v>
      </c>
      <c r="L146">
        <v>0</v>
      </c>
      <c r="M146">
        <v>0</v>
      </c>
      <c r="N146" s="32">
        <v>0</v>
      </c>
      <c r="O146" s="32">
        <v>0</v>
      </c>
      <c r="P146" s="32">
        <v>0</v>
      </c>
      <c r="Q146" s="32">
        <v>0</v>
      </c>
      <c r="R146" s="32">
        <v>0</v>
      </c>
      <c r="S146" s="32">
        <v>0</v>
      </c>
      <c r="T146" s="32">
        <v>0</v>
      </c>
      <c r="U146" s="32">
        <v>0</v>
      </c>
      <c r="V146" s="32">
        <v>0</v>
      </c>
      <c r="W146" s="32">
        <v>0</v>
      </c>
      <c r="X146" s="32">
        <v>0</v>
      </c>
      <c r="Y146" s="32">
        <v>0</v>
      </c>
      <c r="Z146" s="90">
        <v>0</v>
      </c>
      <c r="AA146" s="94">
        <v>0</v>
      </c>
      <c r="AB146" s="94">
        <v>0</v>
      </c>
      <c r="AC146" s="94">
        <v>0</v>
      </c>
      <c r="AD146" s="94">
        <v>0</v>
      </c>
      <c r="AE146" s="94">
        <v>0</v>
      </c>
      <c r="AF146" s="94">
        <v>0</v>
      </c>
      <c r="AG146" s="94">
        <v>0</v>
      </c>
      <c r="AH146" s="94">
        <v>0</v>
      </c>
      <c r="AI146" s="94">
        <v>0</v>
      </c>
      <c r="AJ146" s="94">
        <v>0</v>
      </c>
      <c r="AK146" s="28">
        <v>0</v>
      </c>
      <c r="AL146" s="32">
        <v>19834.352999999999</v>
      </c>
      <c r="AM146" s="32">
        <v>21457.974999999999</v>
      </c>
      <c r="AN146" s="32">
        <v>0</v>
      </c>
      <c r="AO146" s="32">
        <v>0</v>
      </c>
      <c r="AP146" s="32">
        <v>0</v>
      </c>
      <c r="AQ146" s="32">
        <v>0</v>
      </c>
      <c r="AR146" s="73">
        <v>0</v>
      </c>
      <c r="AS146" s="32">
        <v>0</v>
      </c>
      <c r="AT146" s="32">
        <v>0</v>
      </c>
      <c r="AU146" s="32">
        <v>0</v>
      </c>
      <c r="AV146" s="32">
        <v>789.55600000000004</v>
      </c>
      <c r="AW146" s="32">
        <v>0</v>
      </c>
      <c r="AX146" s="90">
        <v>0</v>
      </c>
      <c r="AY146" s="94">
        <v>507.80599999999998</v>
      </c>
      <c r="AZ146" s="94">
        <v>0</v>
      </c>
      <c r="BA146" s="94">
        <v>0</v>
      </c>
      <c r="BB146" s="94">
        <v>0</v>
      </c>
      <c r="BC146" s="94">
        <v>0</v>
      </c>
      <c r="BD146" s="94">
        <v>0</v>
      </c>
      <c r="BE146" s="94">
        <v>0</v>
      </c>
      <c r="BF146" s="94">
        <v>0</v>
      </c>
      <c r="BG146" s="94">
        <v>0</v>
      </c>
      <c r="BH146" s="94">
        <v>0</v>
      </c>
      <c r="BI146" s="94">
        <v>0</v>
      </c>
      <c r="BJ146" s="90">
        <v>0</v>
      </c>
      <c r="BK146" s="94">
        <v>0</v>
      </c>
      <c r="BL146" s="94">
        <v>0</v>
      </c>
      <c r="BM146" s="94">
        <v>0</v>
      </c>
      <c r="BN146" s="94">
        <v>0</v>
      </c>
      <c r="BO146" s="94">
        <v>0</v>
      </c>
      <c r="BP146" s="94">
        <v>0</v>
      </c>
      <c r="BQ146" s="94">
        <v>0</v>
      </c>
      <c r="BR146" s="94">
        <v>0</v>
      </c>
      <c r="BS146" s="94">
        <v>0</v>
      </c>
      <c r="BT146" s="94">
        <v>0</v>
      </c>
      <c r="BU146" s="28">
        <v>0</v>
      </c>
      <c r="BV146" s="90">
        <v>0</v>
      </c>
      <c r="BW146" s="94">
        <v>0</v>
      </c>
      <c r="BX146" s="94">
        <v>0</v>
      </c>
      <c r="BY146" s="94">
        <v>0</v>
      </c>
      <c r="BZ146" s="94">
        <v>0</v>
      </c>
      <c r="CA146" s="94">
        <v>0</v>
      </c>
      <c r="CB146" s="94">
        <v>0</v>
      </c>
      <c r="CC146" s="94">
        <v>0</v>
      </c>
      <c r="CD146" s="94">
        <v>0</v>
      </c>
      <c r="CE146" s="94">
        <v>0</v>
      </c>
      <c r="CF146" s="94">
        <v>0</v>
      </c>
      <c r="CG146" s="94">
        <v>0</v>
      </c>
      <c r="CH146" s="90">
        <v>0</v>
      </c>
      <c r="CI146" s="94">
        <v>0</v>
      </c>
      <c r="CJ146" s="94">
        <v>0</v>
      </c>
      <c r="CK146" s="94">
        <v>0</v>
      </c>
      <c r="CL146" s="94">
        <v>0</v>
      </c>
      <c r="CM146" s="94">
        <v>0</v>
      </c>
      <c r="CN146" s="94">
        <v>0</v>
      </c>
      <c r="CO146" s="94">
        <v>0</v>
      </c>
      <c r="CP146" s="94">
        <v>0</v>
      </c>
      <c r="CQ146" s="94">
        <v>0</v>
      </c>
      <c r="CR146" s="94">
        <v>0</v>
      </c>
      <c r="CS146" s="28">
        <v>0</v>
      </c>
      <c r="CT146" s="90">
        <v>0</v>
      </c>
      <c r="CU146" s="94">
        <v>0</v>
      </c>
      <c r="CV146" s="94">
        <v>0</v>
      </c>
      <c r="CW146" s="94">
        <v>0</v>
      </c>
      <c r="CX146" s="94">
        <v>0</v>
      </c>
      <c r="CY146" s="94">
        <v>0</v>
      </c>
      <c r="CZ146" s="94">
        <v>0</v>
      </c>
      <c r="DA146" s="94">
        <v>0</v>
      </c>
      <c r="DB146" s="94">
        <v>0</v>
      </c>
      <c r="DC146" s="94">
        <v>0</v>
      </c>
      <c r="DD146" s="94">
        <v>0</v>
      </c>
      <c r="DE146" s="28">
        <v>0</v>
      </c>
      <c r="DF146" s="90">
        <v>0</v>
      </c>
      <c r="DG146" s="94">
        <v>0</v>
      </c>
      <c r="DH146" s="94">
        <v>0</v>
      </c>
      <c r="DI146" s="94">
        <v>0</v>
      </c>
      <c r="DJ146" s="94">
        <v>0</v>
      </c>
      <c r="DK146" s="94">
        <v>0</v>
      </c>
      <c r="DL146" s="94">
        <v>0</v>
      </c>
      <c r="DM146" s="94">
        <v>0</v>
      </c>
      <c r="DN146" s="94">
        <v>0</v>
      </c>
      <c r="DO146" s="94">
        <v>0</v>
      </c>
      <c r="DP146" s="94">
        <v>0</v>
      </c>
      <c r="DQ146" s="28">
        <v>0</v>
      </c>
      <c r="DR146" s="90">
        <v>0</v>
      </c>
      <c r="DS146" s="94">
        <v>0</v>
      </c>
      <c r="DT146" s="94">
        <v>0</v>
      </c>
      <c r="DU146" s="94">
        <v>0</v>
      </c>
      <c r="DV146" s="94">
        <v>0</v>
      </c>
      <c r="DW146" s="94">
        <v>0</v>
      </c>
      <c r="DX146" s="94">
        <v>0</v>
      </c>
      <c r="DY146" s="94">
        <v>0</v>
      </c>
      <c r="DZ146" s="94">
        <v>0</v>
      </c>
      <c r="EA146" s="94">
        <v>0</v>
      </c>
      <c r="EB146" s="94">
        <v>0</v>
      </c>
      <c r="EC146" s="28">
        <v>0</v>
      </c>
      <c r="ED146" s="28">
        <f t="shared" si="415"/>
        <v>42589.689999999988</v>
      </c>
      <c r="EE146" s="32"/>
    </row>
    <row r="147" spans="1:135">
      <c r="A147" t="s">
        <v>971</v>
      </c>
      <c r="B147" s="76"/>
      <c r="C147">
        <v>0</v>
      </c>
      <c r="D147">
        <v>0</v>
      </c>
      <c r="E147">
        <v>0</v>
      </c>
      <c r="F147">
        <v>0</v>
      </c>
      <c r="G147">
        <v>0</v>
      </c>
      <c r="H147">
        <v>0</v>
      </c>
      <c r="I147">
        <v>0</v>
      </c>
      <c r="J147">
        <v>0</v>
      </c>
      <c r="K147">
        <v>0</v>
      </c>
      <c r="L147">
        <v>0</v>
      </c>
      <c r="M147">
        <v>0</v>
      </c>
      <c r="N147" s="32">
        <v>0</v>
      </c>
      <c r="O147" s="32">
        <v>0</v>
      </c>
      <c r="P147" s="32">
        <v>0</v>
      </c>
      <c r="Q147" s="32">
        <v>0</v>
      </c>
      <c r="R147" s="32">
        <v>0</v>
      </c>
      <c r="S147" s="32">
        <v>0</v>
      </c>
      <c r="T147" s="32">
        <v>0</v>
      </c>
      <c r="U147" s="32">
        <v>0</v>
      </c>
      <c r="V147" s="32">
        <v>0</v>
      </c>
      <c r="W147" s="32">
        <v>0</v>
      </c>
      <c r="X147" s="32">
        <v>823.96</v>
      </c>
      <c r="Y147" s="32">
        <v>163.5</v>
      </c>
      <c r="Z147" s="90">
        <v>0</v>
      </c>
      <c r="AA147" s="94">
        <v>0</v>
      </c>
      <c r="AB147" s="94">
        <v>0</v>
      </c>
      <c r="AC147" s="94">
        <v>0</v>
      </c>
      <c r="AD147" s="94">
        <v>183.096</v>
      </c>
      <c r="AE147" s="94">
        <v>403.63884574000002</v>
      </c>
      <c r="AF147" s="94">
        <v>0</v>
      </c>
      <c r="AG147" s="94">
        <v>0</v>
      </c>
      <c r="AH147" s="94">
        <v>0</v>
      </c>
      <c r="AI147" s="94">
        <v>0</v>
      </c>
      <c r="AJ147" s="94">
        <v>0</v>
      </c>
      <c r="AK147" s="28">
        <v>106.7</v>
      </c>
      <c r="AL147" s="32">
        <v>0</v>
      </c>
      <c r="AM147" s="32">
        <v>0</v>
      </c>
      <c r="AN147" s="32">
        <v>0</v>
      </c>
      <c r="AO147" s="32">
        <v>0</v>
      </c>
      <c r="AP147" s="32">
        <v>0</v>
      </c>
      <c r="AQ147" s="32">
        <v>0</v>
      </c>
      <c r="AR147" s="73">
        <v>0</v>
      </c>
      <c r="AS147" s="32">
        <v>0</v>
      </c>
      <c r="AT147" s="32">
        <v>0</v>
      </c>
      <c r="AU147" s="32">
        <v>94.36999999999999</v>
      </c>
      <c r="AV147" s="32">
        <v>1505.06</v>
      </c>
      <c r="AW147" s="32">
        <v>0</v>
      </c>
      <c r="AX147" s="90">
        <v>0</v>
      </c>
      <c r="AY147" s="94">
        <v>0</v>
      </c>
      <c r="AZ147" s="94">
        <v>0</v>
      </c>
      <c r="BA147" s="94">
        <v>0</v>
      </c>
      <c r="BB147" s="94">
        <v>0</v>
      </c>
      <c r="BC147" s="94">
        <v>0</v>
      </c>
      <c r="BD147" s="94">
        <v>0</v>
      </c>
      <c r="BE147" s="94">
        <v>0</v>
      </c>
      <c r="BF147" s="94">
        <v>103.569</v>
      </c>
      <c r="BG147" s="94">
        <v>0</v>
      </c>
      <c r="BH147" s="94">
        <v>0</v>
      </c>
      <c r="BI147" s="94">
        <v>875.74400000000003</v>
      </c>
      <c r="BJ147" s="90">
        <v>0</v>
      </c>
      <c r="BK147" s="94">
        <v>0</v>
      </c>
      <c r="BL147" s="94">
        <v>0</v>
      </c>
      <c r="BM147" s="94">
        <v>0</v>
      </c>
      <c r="BN147" s="94">
        <v>0</v>
      </c>
      <c r="BO147" s="94">
        <v>0</v>
      </c>
      <c r="BP147" s="94">
        <v>0</v>
      </c>
      <c r="BQ147" s="94">
        <v>0</v>
      </c>
      <c r="BR147" s="94">
        <v>189.292</v>
      </c>
      <c r="BS147" s="94">
        <v>0</v>
      </c>
      <c r="BT147" s="94">
        <v>1140</v>
      </c>
      <c r="BU147" s="28">
        <v>1231.3700000000001</v>
      </c>
      <c r="BV147" s="90">
        <v>36.945</v>
      </c>
      <c r="BW147" s="94">
        <v>0</v>
      </c>
      <c r="BX147" s="94">
        <v>2366.8280000000004</v>
      </c>
      <c r="BY147" s="94">
        <v>0</v>
      </c>
      <c r="BZ147" s="94">
        <v>0</v>
      </c>
      <c r="CA147" s="94">
        <v>0</v>
      </c>
      <c r="CB147" s="94">
        <v>0</v>
      </c>
      <c r="CC147" s="94">
        <v>210.26300000000001</v>
      </c>
      <c r="CD147" s="94">
        <v>0</v>
      </c>
      <c r="CE147" s="94">
        <v>0</v>
      </c>
      <c r="CF147" s="94">
        <v>0</v>
      </c>
      <c r="CG147" s="94">
        <v>0</v>
      </c>
      <c r="CH147" s="90">
        <v>4009.9949999999999</v>
      </c>
      <c r="CI147" s="94">
        <v>0</v>
      </c>
      <c r="CJ147" s="94">
        <v>0</v>
      </c>
      <c r="CK147" s="94">
        <v>0</v>
      </c>
      <c r="CL147" s="94">
        <v>0</v>
      </c>
      <c r="CM147" s="94">
        <v>0</v>
      </c>
      <c r="CN147" s="94">
        <v>0</v>
      </c>
      <c r="CO147" s="94">
        <v>0</v>
      </c>
      <c r="CP147" s="94">
        <v>0</v>
      </c>
      <c r="CQ147" s="94">
        <v>0</v>
      </c>
      <c r="CR147" s="94">
        <v>714.64700000000005</v>
      </c>
      <c r="CS147" s="28">
        <v>0</v>
      </c>
      <c r="CT147" s="90">
        <v>0</v>
      </c>
      <c r="CU147" s="94">
        <v>0</v>
      </c>
      <c r="CV147" s="94">
        <v>0</v>
      </c>
      <c r="CW147" s="94">
        <v>0</v>
      </c>
      <c r="CX147" s="94">
        <v>0</v>
      </c>
      <c r="CY147" s="94">
        <v>0</v>
      </c>
      <c r="CZ147" s="94">
        <v>0</v>
      </c>
      <c r="DA147" s="94">
        <v>0</v>
      </c>
      <c r="DB147" s="94">
        <v>0</v>
      </c>
      <c r="DC147" s="94">
        <v>0</v>
      </c>
      <c r="DD147" s="94">
        <v>0</v>
      </c>
      <c r="DE147" s="28">
        <v>0</v>
      </c>
      <c r="DF147" s="90">
        <v>0</v>
      </c>
      <c r="DG147" s="94">
        <v>0</v>
      </c>
      <c r="DH147" s="94">
        <v>0</v>
      </c>
      <c r="DI147" s="94">
        <v>0</v>
      </c>
      <c r="DJ147" s="94">
        <v>0</v>
      </c>
      <c r="DK147" s="94">
        <v>0</v>
      </c>
      <c r="DL147" s="94">
        <v>0</v>
      </c>
      <c r="DM147" s="94">
        <v>0</v>
      </c>
      <c r="DN147" s="94">
        <v>0</v>
      </c>
      <c r="DO147" s="94">
        <v>0</v>
      </c>
      <c r="DP147" s="94">
        <v>0</v>
      </c>
      <c r="DQ147" s="28">
        <v>0</v>
      </c>
      <c r="DR147" s="90">
        <v>0</v>
      </c>
      <c r="DS147" s="94">
        <v>0</v>
      </c>
      <c r="DT147" s="94">
        <v>0</v>
      </c>
      <c r="DU147" s="94">
        <v>0</v>
      </c>
      <c r="DV147" s="94">
        <v>0</v>
      </c>
      <c r="DW147" s="94">
        <v>0</v>
      </c>
      <c r="DX147" s="94">
        <v>0</v>
      </c>
      <c r="DY147" s="94">
        <v>0</v>
      </c>
      <c r="DZ147" s="94">
        <v>0</v>
      </c>
      <c r="EA147" s="94">
        <v>0</v>
      </c>
      <c r="EB147" s="94">
        <v>0</v>
      </c>
      <c r="EC147" s="28">
        <v>0</v>
      </c>
      <c r="ED147" s="28">
        <f t="shared" si="415"/>
        <v>14158.977845740003</v>
      </c>
      <c r="EE147" s="32"/>
    </row>
    <row r="148" spans="1:135">
      <c r="A148" t="s">
        <v>1488</v>
      </c>
      <c r="B148" s="76"/>
      <c r="C148">
        <v>0</v>
      </c>
      <c r="D148">
        <v>0</v>
      </c>
      <c r="E148">
        <v>0</v>
      </c>
      <c r="F148">
        <v>0</v>
      </c>
      <c r="G148">
        <v>0</v>
      </c>
      <c r="H148">
        <v>0</v>
      </c>
      <c r="I148">
        <v>0</v>
      </c>
      <c r="J148">
        <v>0</v>
      </c>
      <c r="K148">
        <v>0</v>
      </c>
      <c r="L148">
        <v>0</v>
      </c>
      <c r="M148">
        <v>0</v>
      </c>
      <c r="N148" s="32">
        <v>0</v>
      </c>
      <c r="O148" s="32">
        <v>0</v>
      </c>
      <c r="P148" s="32">
        <v>0</v>
      </c>
      <c r="Q148" s="32">
        <v>0</v>
      </c>
      <c r="R148" s="32">
        <v>0</v>
      </c>
      <c r="S148" s="32">
        <v>0</v>
      </c>
      <c r="T148" s="32">
        <v>0</v>
      </c>
      <c r="U148" s="32">
        <v>0</v>
      </c>
      <c r="V148" s="32">
        <v>0</v>
      </c>
      <c r="W148" s="32">
        <v>0</v>
      </c>
      <c r="X148" s="32">
        <v>0</v>
      </c>
      <c r="Y148" s="32">
        <v>0</v>
      </c>
      <c r="Z148" s="90">
        <v>0</v>
      </c>
      <c r="AA148" s="94">
        <v>0</v>
      </c>
      <c r="AB148" s="94">
        <v>3998.7700000000004</v>
      </c>
      <c r="AC148" s="94">
        <v>566.28700000000003</v>
      </c>
      <c r="AD148" s="94">
        <v>581.88</v>
      </c>
      <c r="AE148" s="94">
        <v>2978.835</v>
      </c>
      <c r="AF148" s="94">
        <v>0</v>
      </c>
      <c r="AG148" s="94">
        <v>0</v>
      </c>
      <c r="AH148" s="94">
        <v>0</v>
      </c>
      <c r="AI148" s="94">
        <v>0</v>
      </c>
      <c r="AJ148" s="94">
        <v>0</v>
      </c>
      <c r="AK148" s="28">
        <v>375.05</v>
      </c>
      <c r="AL148" s="32">
        <v>0</v>
      </c>
      <c r="AM148" s="32">
        <v>0</v>
      </c>
      <c r="AN148" s="32">
        <v>1251.537</v>
      </c>
      <c r="AO148" s="32">
        <v>0</v>
      </c>
      <c r="AP148" s="32">
        <v>0</v>
      </c>
      <c r="AQ148" s="32">
        <v>719.64700000000005</v>
      </c>
      <c r="AR148" s="73">
        <v>691.495</v>
      </c>
      <c r="AS148" s="32">
        <v>0</v>
      </c>
      <c r="AT148" s="32">
        <v>0</v>
      </c>
      <c r="AU148" s="32">
        <v>0</v>
      </c>
      <c r="AV148" s="32">
        <v>0</v>
      </c>
      <c r="AW148" s="32">
        <v>0</v>
      </c>
      <c r="AX148" s="90">
        <v>0</v>
      </c>
      <c r="AY148" s="94">
        <v>200</v>
      </c>
      <c r="AZ148" s="94">
        <v>434.53300000000002</v>
      </c>
      <c r="BA148" s="94">
        <v>0</v>
      </c>
      <c r="BB148" s="94">
        <v>0</v>
      </c>
      <c r="BC148" s="94">
        <v>0</v>
      </c>
      <c r="BD148" s="94">
        <v>0</v>
      </c>
      <c r="BE148" s="94">
        <v>1085.9160000000002</v>
      </c>
      <c r="BF148" s="94">
        <v>1838.184</v>
      </c>
      <c r="BG148" s="94">
        <v>0</v>
      </c>
      <c r="BH148" s="94">
        <v>0</v>
      </c>
      <c r="BI148" s="94">
        <v>0</v>
      </c>
      <c r="BJ148" s="90">
        <v>753.93199999999979</v>
      </c>
      <c r="BK148" s="94">
        <v>0</v>
      </c>
      <c r="BL148" s="94">
        <v>0</v>
      </c>
      <c r="BM148" s="94">
        <v>267.26</v>
      </c>
      <c r="BN148" s="94">
        <v>0</v>
      </c>
      <c r="BO148" s="94">
        <v>0</v>
      </c>
      <c r="BP148" s="94">
        <v>0</v>
      </c>
      <c r="BQ148" s="94">
        <v>88.516000000000005</v>
      </c>
      <c r="BR148" s="94">
        <v>0</v>
      </c>
      <c r="BS148" s="94">
        <v>0</v>
      </c>
      <c r="BT148" s="94">
        <v>0</v>
      </c>
      <c r="BU148" s="28">
        <v>0</v>
      </c>
      <c r="BV148" s="90">
        <v>0</v>
      </c>
      <c r="BW148" s="94">
        <v>3.32</v>
      </c>
      <c r="BX148" s="94">
        <v>177.596</v>
      </c>
      <c r="BY148" s="94">
        <v>0</v>
      </c>
      <c r="BZ148" s="94">
        <v>0</v>
      </c>
      <c r="CA148" s="94">
        <v>500.01918900000004</v>
      </c>
      <c r="CB148" s="94">
        <v>0</v>
      </c>
      <c r="CC148" s="94">
        <v>0</v>
      </c>
      <c r="CD148" s="94">
        <v>176.203</v>
      </c>
      <c r="CE148" s="94">
        <v>152.71362000000002</v>
      </c>
      <c r="CF148" s="94">
        <v>27.44</v>
      </c>
      <c r="CG148" s="94">
        <v>125.006</v>
      </c>
      <c r="CH148" s="90">
        <v>0</v>
      </c>
      <c r="CI148" s="94">
        <v>76.018152000000001</v>
      </c>
      <c r="CJ148" s="94">
        <v>0</v>
      </c>
      <c r="CK148" s="94">
        <v>0</v>
      </c>
      <c r="CL148" s="94">
        <v>0</v>
      </c>
      <c r="CM148" s="94">
        <v>0</v>
      </c>
      <c r="CN148" s="94">
        <v>0</v>
      </c>
      <c r="CO148" s="94">
        <v>0</v>
      </c>
      <c r="CP148" s="94">
        <v>0</v>
      </c>
      <c r="CQ148" s="94">
        <v>0</v>
      </c>
      <c r="CR148" s="94">
        <v>0</v>
      </c>
      <c r="CS148" s="28">
        <v>300.66500000000002</v>
      </c>
      <c r="CT148" s="90">
        <v>2795.1450000000004</v>
      </c>
      <c r="CU148" s="94">
        <v>0</v>
      </c>
      <c r="CV148" s="94">
        <v>0</v>
      </c>
      <c r="CW148" s="94">
        <v>0</v>
      </c>
      <c r="CX148" s="94">
        <v>0</v>
      </c>
      <c r="CY148" s="94">
        <v>0</v>
      </c>
      <c r="CZ148" s="94">
        <v>0</v>
      </c>
      <c r="DA148" s="94">
        <v>0</v>
      </c>
      <c r="DB148" s="94">
        <v>0</v>
      </c>
      <c r="DC148" s="94">
        <v>0</v>
      </c>
      <c r="DD148" s="94">
        <v>0</v>
      </c>
      <c r="DE148" s="28">
        <v>0</v>
      </c>
      <c r="DF148" s="90">
        <v>0</v>
      </c>
      <c r="DG148" s="94">
        <v>0</v>
      </c>
      <c r="DH148" s="94">
        <v>0</v>
      </c>
      <c r="DI148" s="94">
        <v>0</v>
      </c>
      <c r="DJ148" s="94">
        <v>0</v>
      </c>
      <c r="DK148" s="94">
        <v>0</v>
      </c>
      <c r="DL148" s="94">
        <v>0</v>
      </c>
      <c r="DM148" s="94">
        <v>0</v>
      </c>
      <c r="DN148" s="94">
        <v>0</v>
      </c>
      <c r="DO148" s="94">
        <v>0</v>
      </c>
      <c r="DP148" s="94">
        <v>0</v>
      </c>
      <c r="DQ148" s="28">
        <v>0</v>
      </c>
      <c r="DR148" s="90">
        <v>0</v>
      </c>
      <c r="DS148" s="94">
        <v>0</v>
      </c>
      <c r="DT148" s="94">
        <v>0</v>
      </c>
      <c r="DU148" s="94">
        <v>0</v>
      </c>
      <c r="DV148" s="94">
        <v>0</v>
      </c>
      <c r="DW148" s="94">
        <v>0</v>
      </c>
      <c r="DX148" s="94">
        <v>0</v>
      </c>
      <c r="DY148" s="94">
        <v>0</v>
      </c>
      <c r="DZ148" s="94">
        <v>0</v>
      </c>
      <c r="EA148" s="94">
        <v>0</v>
      </c>
      <c r="EB148" s="94">
        <v>0</v>
      </c>
      <c r="EC148" s="28">
        <v>0</v>
      </c>
      <c r="ED148" s="28">
        <f t="shared" si="415"/>
        <v>20165.967960999998</v>
      </c>
      <c r="EE148" s="32"/>
    </row>
    <row r="149" spans="1:135">
      <c r="A149" s="219" t="s">
        <v>3238</v>
      </c>
      <c r="B149" s="76"/>
      <c r="C149">
        <v>0</v>
      </c>
      <c r="D149">
        <v>0</v>
      </c>
      <c r="E149">
        <v>0</v>
      </c>
      <c r="F149">
        <v>0</v>
      </c>
      <c r="G149">
        <v>0</v>
      </c>
      <c r="H149">
        <v>0</v>
      </c>
      <c r="I149">
        <v>0</v>
      </c>
      <c r="J149">
        <v>0</v>
      </c>
      <c r="K149">
        <v>0</v>
      </c>
      <c r="L149">
        <v>0</v>
      </c>
      <c r="M149">
        <v>0</v>
      </c>
      <c r="N149" s="32">
        <v>0</v>
      </c>
      <c r="O149" s="32">
        <v>0</v>
      </c>
      <c r="P149" s="32">
        <v>0</v>
      </c>
      <c r="Q149" s="32">
        <v>0</v>
      </c>
      <c r="R149" s="32">
        <v>0</v>
      </c>
      <c r="S149" s="32">
        <v>0</v>
      </c>
      <c r="T149" s="32">
        <v>0</v>
      </c>
      <c r="U149" s="32">
        <v>0</v>
      </c>
      <c r="V149" s="32">
        <v>0</v>
      </c>
      <c r="W149" s="32">
        <v>0</v>
      </c>
      <c r="X149" s="32">
        <v>0</v>
      </c>
      <c r="Y149" s="32">
        <v>0</v>
      </c>
      <c r="Z149" s="90">
        <v>0</v>
      </c>
      <c r="AA149" s="94">
        <v>0</v>
      </c>
      <c r="AB149" s="94">
        <v>0</v>
      </c>
      <c r="AC149" s="94">
        <v>0</v>
      </c>
      <c r="AD149" s="94">
        <v>0</v>
      </c>
      <c r="AE149" s="94">
        <v>0</v>
      </c>
      <c r="AF149" s="94">
        <v>0</v>
      </c>
      <c r="AG149" s="94">
        <v>0</v>
      </c>
      <c r="AH149" s="94">
        <v>0</v>
      </c>
      <c r="AI149" s="94">
        <v>0</v>
      </c>
      <c r="AJ149" s="94">
        <v>0</v>
      </c>
      <c r="AK149" s="28">
        <v>0</v>
      </c>
      <c r="AL149" s="32">
        <v>0</v>
      </c>
      <c r="AM149" s="32">
        <v>0</v>
      </c>
      <c r="AN149" s="32">
        <v>0</v>
      </c>
      <c r="AO149" s="32">
        <v>0</v>
      </c>
      <c r="AP149" s="32">
        <v>0</v>
      </c>
      <c r="AQ149" s="32">
        <v>0</v>
      </c>
      <c r="AR149" s="73">
        <v>185</v>
      </c>
      <c r="AS149" s="32">
        <v>0</v>
      </c>
      <c r="AT149" s="32">
        <v>0</v>
      </c>
      <c r="AU149" s="32">
        <v>0</v>
      </c>
      <c r="AV149" s="32">
        <v>0</v>
      </c>
      <c r="AW149" s="32">
        <v>994.16</v>
      </c>
      <c r="AX149" s="90">
        <v>0</v>
      </c>
      <c r="AY149" s="94">
        <v>0</v>
      </c>
      <c r="AZ149" s="94">
        <v>0</v>
      </c>
      <c r="BA149" s="94">
        <v>0</v>
      </c>
      <c r="BB149" s="94">
        <v>0</v>
      </c>
      <c r="BC149" s="94">
        <v>0</v>
      </c>
      <c r="BD149" s="94">
        <v>0</v>
      </c>
      <c r="BE149" s="94">
        <v>699.79700000000003</v>
      </c>
      <c r="BF149" s="94">
        <v>0</v>
      </c>
      <c r="BG149" s="94">
        <v>0</v>
      </c>
      <c r="BH149" s="94">
        <v>0</v>
      </c>
      <c r="BI149" s="94">
        <v>0</v>
      </c>
      <c r="BJ149" s="90">
        <v>0</v>
      </c>
      <c r="BK149" s="94">
        <v>0</v>
      </c>
      <c r="BL149" s="94">
        <v>0</v>
      </c>
      <c r="BM149" s="94">
        <v>0</v>
      </c>
      <c r="BN149" s="94">
        <v>0</v>
      </c>
      <c r="BO149" s="94">
        <v>0</v>
      </c>
      <c r="BP149" s="94">
        <v>0</v>
      </c>
      <c r="BQ149" s="94">
        <v>0</v>
      </c>
      <c r="BR149" s="94">
        <v>0</v>
      </c>
      <c r="BS149" s="94">
        <v>115.90719999999999</v>
      </c>
      <c r="BT149" s="94">
        <v>270.26</v>
      </c>
      <c r="BU149" s="28">
        <v>0</v>
      </c>
      <c r="BV149" s="90">
        <v>0</v>
      </c>
      <c r="BW149" s="94">
        <v>0</v>
      </c>
      <c r="BX149" s="94">
        <v>0</v>
      </c>
      <c r="BY149" s="94">
        <v>203.286</v>
      </c>
      <c r="BZ149" s="94">
        <v>0</v>
      </c>
      <c r="CA149" s="94">
        <v>0</v>
      </c>
      <c r="CB149" s="94">
        <v>885.06299999999999</v>
      </c>
      <c r="CC149" s="94">
        <v>0</v>
      </c>
      <c r="CD149" s="94">
        <v>0</v>
      </c>
      <c r="CE149" s="94">
        <v>0</v>
      </c>
      <c r="CF149" s="94">
        <v>0</v>
      </c>
      <c r="CG149" s="94">
        <v>0</v>
      </c>
      <c r="CH149" s="90">
        <v>0</v>
      </c>
      <c r="CI149" s="94">
        <v>0</v>
      </c>
      <c r="CJ149" s="94">
        <v>0</v>
      </c>
      <c r="CK149" s="94">
        <v>0</v>
      </c>
      <c r="CL149" s="94">
        <v>0</v>
      </c>
      <c r="CM149" s="94">
        <v>0</v>
      </c>
      <c r="CN149" s="94">
        <v>0</v>
      </c>
      <c r="CO149" s="94">
        <v>0</v>
      </c>
      <c r="CP149" s="94">
        <v>0</v>
      </c>
      <c r="CQ149" s="94">
        <v>0</v>
      </c>
      <c r="CR149" s="94">
        <v>92.637</v>
      </c>
      <c r="CS149" s="28">
        <v>0</v>
      </c>
      <c r="CT149" s="90">
        <v>0</v>
      </c>
      <c r="CU149" s="94">
        <v>0</v>
      </c>
      <c r="CV149" s="94">
        <v>0</v>
      </c>
      <c r="CW149" s="94">
        <v>0</v>
      </c>
      <c r="CX149" s="94">
        <v>0</v>
      </c>
      <c r="CY149" s="94">
        <v>0</v>
      </c>
      <c r="CZ149" s="94">
        <v>0</v>
      </c>
      <c r="DA149" s="94">
        <v>0</v>
      </c>
      <c r="DB149" s="94">
        <v>0</v>
      </c>
      <c r="DC149" s="94">
        <v>0</v>
      </c>
      <c r="DD149" s="94">
        <v>0</v>
      </c>
      <c r="DE149" s="28">
        <v>0</v>
      </c>
      <c r="DF149" s="90">
        <v>0</v>
      </c>
      <c r="DG149" s="94">
        <v>0</v>
      </c>
      <c r="DH149" s="94">
        <v>0</v>
      </c>
      <c r="DI149" s="94">
        <v>0</v>
      </c>
      <c r="DJ149" s="94">
        <v>0</v>
      </c>
      <c r="DK149" s="94">
        <v>0</v>
      </c>
      <c r="DL149" s="94">
        <v>0</v>
      </c>
      <c r="DM149" s="94">
        <v>0</v>
      </c>
      <c r="DN149" s="94">
        <v>0</v>
      </c>
      <c r="DO149" s="94">
        <v>0</v>
      </c>
      <c r="DP149" s="94">
        <v>0</v>
      </c>
      <c r="DQ149" s="28">
        <v>0</v>
      </c>
      <c r="DR149" s="90">
        <v>0</v>
      </c>
      <c r="DS149" s="94">
        <v>0</v>
      </c>
      <c r="DT149" s="94">
        <v>0</v>
      </c>
      <c r="DU149" s="94">
        <v>0</v>
      </c>
      <c r="DV149" s="94">
        <v>0</v>
      </c>
      <c r="DW149" s="94">
        <v>0</v>
      </c>
      <c r="DX149" s="94">
        <v>0</v>
      </c>
      <c r="DY149" s="94">
        <v>0</v>
      </c>
      <c r="DZ149" s="94">
        <v>0</v>
      </c>
      <c r="EA149" s="94">
        <v>0</v>
      </c>
      <c r="EB149" s="94">
        <v>0</v>
      </c>
      <c r="EC149" s="28">
        <v>0</v>
      </c>
      <c r="ED149" s="28">
        <f t="shared" si="415"/>
        <v>3446.1102000000005</v>
      </c>
      <c r="EE149" s="32"/>
    </row>
    <row r="150" spans="1:135">
      <c r="A150" s="219" t="s">
        <v>4048</v>
      </c>
      <c r="B150" s="76"/>
      <c r="C150">
        <v>0</v>
      </c>
      <c r="D150">
        <v>0</v>
      </c>
      <c r="E150">
        <v>0</v>
      </c>
      <c r="F150">
        <v>0</v>
      </c>
      <c r="G150">
        <v>0</v>
      </c>
      <c r="H150">
        <v>0</v>
      </c>
      <c r="I150">
        <v>0</v>
      </c>
      <c r="J150">
        <v>0</v>
      </c>
      <c r="K150">
        <v>0</v>
      </c>
      <c r="L150">
        <v>0</v>
      </c>
      <c r="M150">
        <v>0</v>
      </c>
      <c r="N150" s="32">
        <v>0</v>
      </c>
      <c r="O150" s="32">
        <v>0</v>
      </c>
      <c r="P150" s="32">
        <v>0</v>
      </c>
      <c r="Q150" s="32">
        <v>0</v>
      </c>
      <c r="R150" s="32">
        <v>0</v>
      </c>
      <c r="S150" s="32">
        <v>0</v>
      </c>
      <c r="T150" s="32">
        <v>0</v>
      </c>
      <c r="U150" s="32">
        <v>0</v>
      </c>
      <c r="V150" s="32">
        <v>0</v>
      </c>
      <c r="W150" s="32">
        <v>0</v>
      </c>
      <c r="X150" s="32">
        <v>0</v>
      </c>
      <c r="Y150" s="32">
        <v>0</v>
      </c>
      <c r="Z150" s="90">
        <v>0</v>
      </c>
      <c r="AA150" s="94">
        <v>0</v>
      </c>
      <c r="AB150" s="94">
        <v>0</v>
      </c>
      <c r="AC150" s="94">
        <v>0</v>
      </c>
      <c r="AD150" s="94">
        <v>0</v>
      </c>
      <c r="AE150" s="94">
        <v>0</v>
      </c>
      <c r="AF150" s="94">
        <v>0</v>
      </c>
      <c r="AG150" s="94">
        <v>0</v>
      </c>
      <c r="AH150" s="94">
        <v>0</v>
      </c>
      <c r="AI150" s="94">
        <v>0</v>
      </c>
      <c r="AJ150" s="94">
        <v>0</v>
      </c>
      <c r="AK150" s="28">
        <v>0</v>
      </c>
      <c r="AL150" s="32">
        <v>0</v>
      </c>
      <c r="AM150" s="32">
        <v>0</v>
      </c>
      <c r="AN150" s="32">
        <v>0</v>
      </c>
      <c r="AO150" s="32">
        <v>0</v>
      </c>
      <c r="AP150" s="32">
        <v>0</v>
      </c>
      <c r="AQ150" s="32">
        <v>0</v>
      </c>
      <c r="AR150" s="73">
        <v>0</v>
      </c>
      <c r="AS150" s="32">
        <v>0</v>
      </c>
      <c r="AT150" s="32">
        <v>0</v>
      </c>
      <c r="AU150" s="32">
        <v>0</v>
      </c>
      <c r="AV150" s="32">
        <v>0</v>
      </c>
      <c r="AW150" s="32">
        <v>0</v>
      </c>
      <c r="AX150" s="90">
        <v>0</v>
      </c>
      <c r="AY150" s="94">
        <v>0</v>
      </c>
      <c r="AZ150" s="94">
        <v>0</v>
      </c>
      <c r="BA150" s="94">
        <v>0</v>
      </c>
      <c r="BB150" s="94">
        <v>0</v>
      </c>
      <c r="BC150" s="94">
        <v>0</v>
      </c>
      <c r="BD150" s="94">
        <v>0</v>
      </c>
      <c r="BE150" s="94">
        <v>0</v>
      </c>
      <c r="BF150" s="94">
        <v>0</v>
      </c>
      <c r="BG150" s="94">
        <v>0</v>
      </c>
      <c r="BH150" s="94">
        <v>0</v>
      </c>
      <c r="BI150" s="94">
        <v>0</v>
      </c>
      <c r="BJ150" s="90">
        <v>0</v>
      </c>
      <c r="BK150" s="94">
        <v>0</v>
      </c>
      <c r="BL150" s="94">
        <v>0</v>
      </c>
      <c r="BM150" s="94">
        <v>0</v>
      </c>
      <c r="BN150" s="94">
        <v>0</v>
      </c>
      <c r="BO150" s="94">
        <v>0</v>
      </c>
      <c r="BP150" s="94">
        <v>0</v>
      </c>
      <c r="BQ150" s="94">
        <v>0</v>
      </c>
      <c r="BR150" s="94">
        <v>0</v>
      </c>
      <c r="BS150" s="94">
        <v>0</v>
      </c>
      <c r="BT150" s="94">
        <v>0</v>
      </c>
      <c r="BU150" s="28">
        <v>0</v>
      </c>
      <c r="BV150" s="90">
        <v>0</v>
      </c>
      <c r="BW150" s="94">
        <v>0</v>
      </c>
      <c r="BX150" s="94">
        <v>0</v>
      </c>
      <c r="BY150" s="94">
        <v>0</v>
      </c>
      <c r="BZ150" s="94">
        <v>0</v>
      </c>
      <c r="CA150" s="94">
        <v>0</v>
      </c>
      <c r="CB150" s="94">
        <v>0</v>
      </c>
      <c r="CC150" s="94">
        <v>0</v>
      </c>
      <c r="CD150" s="94">
        <v>0</v>
      </c>
      <c r="CE150" s="94">
        <v>0</v>
      </c>
      <c r="CF150" s="94">
        <v>0</v>
      </c>
      <c r="CG150" s="94">
        <v>0</v>
      </c>
      <c r="CH150" s="90">
        <v>0</v>
      </c>
      <c r="CI150" s="94">
        <v>0</v>
      </c>
      <c r="CJ150" s="94">
        <v>0</v>
      </c>
      <c r="CK150" s="94">
        <v>0</v>
      </c>
      <c r="CL150" s="94">
        <v>0</v>
      </c>
      <c r="CM150" s="94">
        <v>0</v>
      </c>
      <c r="CN150" s="94">
        <v>0</v>
      </c>
      <c r="CO150" s="94">
        <v>0</v>
      </c>
      <c r="CP150" s="94">
        <v>0</v>
      </c>
      <c r="CQ150" s="94">
        <v>0</v>
      </c>
      <c r="CR150" s="94">
        <v>0</v>
      </c>
      <c r="CS150" s="28">
        <v>0</v>
      </c>
      <c r="CT150" s="90">
        <v>0</v>
      </c>
      <c r="CU150" s="94">
        <v>0</v>
      </c>
      <c r="CV150" s="94">
        <v>0</v>
      </c>
      <c r="CW150" s="94">
        <v>0</v>
      </c>
      <c r="CX150" s="94">
        <v>0</v>
      </c>
      <c r="CY150" s="94">
        <v>0</v>
      </c>
      <c r="CZ150" s="94">
        <v>0</v>
      </c>
      <c r="DA150" s="94">
        <v>0</v>
      </c>
      <c r="DB150" s="94">
        <v>0</v>
      </c>
      <c r="DC150" s="94">
        <v>0</v>
      </c>
      <c r="DD150" s="94">
        <v>0</v>
      </c>
      <c r="DE150" s="28">
        <v>0</v>
      </c>
      <c r="DF150" s="90">
        <v>0</v>
      </c>
      <c r="DG150" s="94">
        <v>0</v>
      </c>
      <c r="DH150" s="94">
        <v>0</v>
      </c>
      <c r="DI150" s="94">
        <v>0</v>
      </c>
      <c r="DJ150" s="94">
        <v>0</v>
      </c>
      <c r="DK150" s="94">
        <v>0</v>
      </c>
      <c r="DL150" s="94">
        <v>0</v>
      </c>
      <c r="DM150" s="94">
        <v>0</v>
      </c>
      <c r="DN150" s="94">
        <v>0</v>
      </c>
      <c r="DO150" s="94">
        <v>0</v>
      </c>
      <c r="DP150" s="94">
        <v>0</v>
      </c>
      <c r="DQ150" s="28">
        <v>0</v>
      </c>
      <c r="DR150" s="90">
        <v>0</v>
      </c>
      <c r="DS150" s="94">
        <v>0</v>
      </c>
      <c r="DT150" s="94">
        <v>0</v>
      </c>
      <c r="DU150" s="94">
        <v>0</v>
      </c>
      <c r="DV150" s="94">
        <v>0</v>
      </c>
      <c r="DW150" s="94">
        <v>0</v>
      </c>
      <c r="DX150" s="94">
        <v>0</v>
      </c>
      <c r="DY150" s="94">
        <v>0</v>
      </c>
      <c r="DZ150" s="94">
        <v>0</v>
      </c>
      <c r="EA150" s="94">
        <v>0</v>
      </c>
      <c r="EB150" s="94">
        <v>0</v>
      </c>
      <c r="EC150" s="28">
        <v>0</v>
      </c>
      <c r="ED150" s="28">
        <f t="shared" si="415"/>
        <v>0</v>
      </c>
      <c r="EE150" s="32"/>
    </row>
    <row r="151" spans="1:135">
      <c r="A151" t="s">
        <v>981</v>
      </c>
      <c r="B151" s="76"/>
      <c r="C151">
        <v>0</v>
      </c>
      <c r="D151">
        <v>0</v>
      </c>
      <c r="E151">
        <v>0</v>
      </c>
      <c r="F151">
        <v>0</v>
      </c>
      <c r="G151">
        <v>0</v>
      </c>
      <c r="H151">
        <v>0</v>
      </c>
      <c r="I151">
        <v>0</v>
      </c>
      <c r="J151">
        <v>0</v>
      </c>
      <c r="K151">
        <v>0</v>
      </c>
      <c r="L151">
        <v>0</v>
      </c>
      <c r="M151">
        <v>0</v>
      </c>
      <c r="N151" s="32">
        <v>0</v>
      </c>
      <c r="O151" s="32">
        <v>0</v>
      </c>
      <c r="P151" s="32">
        <v>0</v>
      </c>
      <c r="Q151" s="32">
        <v>0</v>
      </c>
      <c r="R151" s="32">
        <v>0</v>
      </c>
      <c r="S151" s="32">
        <v>0</v>
      </c>
      <c r="T151" s="32">
        <v>0</v>
      </c>
      <c r="U151" s="32">
        <v>0</v>
      </c>
      <c r="V151" s="32">
        <v>0</v>
      </c>
      <c r="W151" s="32">
        <v>0</v>
      </c>
      <c r="X151" s="32">
        <v>0</v>
      </c>
      <c r="Y151" s="32">
        <v>0</v>
      </c>
      <c r="Z151" s="90">
        <v>0</v>
      </c>
      <c r="AA151" s="94">
        <v>0</v>
      </c>
      <c r="AB151" s="94">
        <v>0</v>
      </c>
      <c r="AC151" s="94">
        <v>0</v>
      </c>
      <c r="AD151" s="94">
        <v>0</v>
      </c>
      <c r="AE151" s="94">
        <v>0</v>
      </c>
      <c r="AF151" s="94">
        <v>5213.3575000000001</v>
      </c>
      <c r="AG151" s="94">
        <v>0</v>
      </c>
      <c r="AH151" s="94">
        <v>0</v>
      </c>
      <c r="AI151" s="94">
        <v>7474.4512565000005</v>
      </c>
      <c r="AJ151" s="94">
        <v>3290.5270089999999</v>
      </c>
      <c r="AK151" s="28">
        <v>0</v>
      </c>
      <c r="AL151" s="32">
        <v>0</v>
      </c>
      <c r="AM151" s="32">
        <v>0</v>
      </c>
      <c r="AN151" s="32">
        <v>13821.212</v>
      </c>
      <c r="AO151" s="32">
        <v>4437.8519999999999</v>
      </c>
      <c r="AP151" s="32">
        <v>8084.2386099999994</v>
      </c>
      <c r="AQ151" s="32">
        <v>6349.6</v>
      </c>
      <c r="AR151" s="73">
        <v>4000</v>
      </c>
      <c r="AS151" s="32">
        <v>7365.2389999999996</v>
      </c>
      <c r="AT151" s="32">
        <v>13211.938590000002</v>
      </c>
      <c r="AU151" s="32">
        <v>0</v>
      </c>
      <c r="AV151" s="32">
        <v>0</v>
      </c>
      <c r="AW151" s="32">
        <v>1442.92</v>
      </c>
      <c r="AX151" s="90">
        <v>0</v>
      </c>
      <c r="AY151" s="94">
        <v>0</v>
      </c>
      <c r="AZ151" s="94">
        <v>0</v>
      </c>
      <c r="BA151" s="94">
        <v>0</v>
      </c>
      <c r="BB151" s="94">
        <v>0</v>
      </c>
      <c r="BC151" s="94">
        <v>2975</v>
      </c>
      <c r="BD151" s="94">
        <v>5494.93</v>
      </c>
      <c r="BE151" s="94">
        <v>6635.8159999999998</v>
      </c>
      <c r="BF151" s="94">
        <v>0</v>
      </c>
      <c r="BG151" s="94">
        <v>0</v>
      </c>
      <c r="BH151" s="94">
        <v>0</v>
      </c>
      <c r="BI151" s="94">
        <v>0</v>
      </c>
      <c r="BJ151" s="90">
        <v>0</v>
      </c>
      <c r="BK151" s="94">
        <v>2362.3420420000002</v>
      </c>
      <c r="BL151" s="94">
        <v>0</v>
      </c>
      <c r="BM151" s="94">
        <v>0</v>
      </c>
      <c r="BN151" s="94">
        <v>4219.9259999999995</v>
      </c>
      <c r="BO151" s="94">
        <v>597.923</v>
      </c>
      <c r="BP151" s="94">
        <v>1119.4940000000001</v>
      </c>
      <c r="BQ151" s="94">
        <v>452.65300000000002</v>
      </c>
      <c r="BR151" s="94">
        <v>1589.4639999999999</v>
      </c>
      <c r="BS151" s="94">
        <v>0</v>
      </c>
      <c r="BT151" s="94">
        <v>97.180999999999997</v>
      </c>
      <c r="BU151" s="28">
        <v>0</v>
      </c>
      <c r="BV151" s="90">
        <v>446.92999999999995</v>
      </c>
      <c r="BW151" s="94">
        <v>1589.9651999999999</v>
      </c>
      <c r="BX151" s="94">
        <v>0</v>
      </c>
      <c r="BY151" s="94">
        <v>87.86</v>
      </c>
      <c r="BZ151" s="94">
        <v>0</v>
      </c>
      <c r="CA151" s="94">
        <v>0</v>
      </c>
      <c r="CB151" s="94">
        <v>0</v>
      </c>
      <c r="CC151" s="94">
        <v>0</v>
      </c>
      <c r="CD151" s="94">
        <v>112.71599999999999</v>
      </c>
      <c r="CE151" s="94">
        <v>0</v>
      </c>
      <c r="CF151" s="94">
        <v>227.52449999999999</v>
      </c>
      <c r="CG151" s="94">
        <v>0</v>
      </c>
      <c r="CH151" s="90">
        <v>0</v>
      </c>
      <c r="CI151" s="94">
        <v>0</v>
      </c>
      <c r="CJ151" s="94">
        <v>0</v>
      </c>
      <c r="CK151" s="94">
        <v>432.64400000000001</v>
      </c>
      <c r="CL151" s="94">
        <v>0</v>
      </c>
      <c r="CM151" s="94">
        <v>0</v>
      </c>
      <c r="CN151" s="94">
        <v>0</v>
      </c>
      <c r="CO151" s="94">
        <v>606.654</v>
      </c>
      <c r="CP151" s="94">
        <v>0</v>
      </c>
      <c r="CQ151" s="94">
        <v>0</v>
      </c>
      <c r="CR151" s="94">
        <v>0</v>
      </c>
      <c r="CS151" s="28">
        <v>0</v>
      </c>
      <c r="CT151" s="90">
        <v>0</v>
      </c>
      <c r="CU151" s="94">
        <v>259.09800000000001</v>
      </c>
      <c r="CV151" s="94">
        <v>0</v>
      </c>
      <c r="CW151" s="94">
        <v>0</v>
      </c>
      <c r="CX151" s="94">
        <v>0</v>
      </c>
      <c r="CY151" s="94">
        <v>0</v>
      </c>
      <c r="CZ151" s="94">
        <v>0</v>
      </c>
      <c r="DA151" s="94">
        <v>0</v>
      </c>
      <c r="DB151" s="94">
        <v>0</v>
      </c>
      <c r="DC151" s="94">
        <v>0</v>
      </c>
      <c r="DD151" s="94">
        <v>0</v>
      </c>
      <c r="DE151" s="28">
        <v>0</v>
      </c>
      <c r="DF151" s="90">
        <v>0</v>
      </c>
      <c r="DG151" s="94">
        <v>0</v>
      </c>
      <c r="DH151" s="94">
        <v>0</v>
      </c>
      <c r="DI151" s="94">
        <v>0</v>
      </c>
      <c r="DJ151" s="94">
        <v>0</v>
      </c>
      <c r="DK151" s="94">
        <v>0</v>
      </c>
      <c r="DL151" s="94">
        <v>0</v>
      </c>
      <c r="DM151" s="94">
        <v>0</v>
      </c>
      <c r="DN151" s="94">
        <v>0</v>
      </c>
      <c r="DO151" s="94">
        <v>0</v>
      </c>
      <c r="DP151" s="94">
        <v>0</v>
      </c>
      <c r="DQ151" s="28">
        <v>0</v>
      </c>
      <c r="DR151" s="90">
        <v>0</v>
      </c>
      <c r="DS151" s="94">
        <v>0</v>
      </c>
      <c r="DT151" s="94">
        <v>0</v>
      </c>
      <c r="DU151" s="94">
        <v>0</v>
      </c>
      <c r="DV151" s="94">
        <v>0</v>
      </c>
      <c r="DW151" s="94">
        <v>0</v>
      </c>
      <c r="DX151" s="94">
        <v>0</v>
      </c>
      <c r="DY151" s="94">
        <v>0</v>
      </c>
      <c r="DZ151" s="94">
        <v>0</v>
      </c>
      <c r="EA151" s="94">
        <v>0</v>
      </c>
      <c r="EB151" s="94">
        <v>0</v>
      </c>
      <c r="EC151" s="28">
        <v>0</v>
      </c>
      <c r="ED151" s="28">
        <f t="shared" si="415"/>
        <v>103999.45670750001</v>
      </c>
      <c r="EE151" s="32"/>
    </row>
    <row r="152" spans="1:135">
      <c r="A152" s="191" t="s">
        <v>2318</v>
      </c>
      <c r="B152" s="76"/>
      <c r="C152">
        <v>0</v>
      </c>
      <c r="D152">
        <v>0</v>
      </c>
      <c r="E152">
        <v>0</v>
      </c>
      <c r="F152">
        <v>0</v>
      </c>
      <c r="G152">
        <v>0</v>
      </c>
      <c r="H152">
        <v>0</v>
      </c>
      <c r="I152">
        <v>0</v>
      </c>
      <c r="J152">
        <v>0</v>
      </c>
      <c r="K152">
        <v>0</v>
      </c>
      <c r="L152">
        <v>0</v>
      </c>
      <c r="M152">
        <v>0</v>
      </c>
      <c r="N152" s="32">
        <v>0</v>
      </c>
      <c r="O152" s="32">
        <v>0</v>
      </c>
      <c r="P152" s="32">
        <v>0</v>
      </c>
      <c r="Q152" s="32">
        <v>0</v>
      </c>
      <c r="R152" s="32">
        <v>0</v>
      </c>
      <c r="S152" s="32">
        <v>0</v>
      </c>
      <c r="T152" s="32">
        <v>0</v>
      </c>
      <c r="U152" s="32">
        <v>0</v>
      </c>
      <c r="V152" s="32">
        <v>0</v>
      </c>
      <c r="W152" s="32">
        <v>0</v>
      </c>
      <c r="X152" s="32">
        <v>0</v>
      </c>
      <c r="Y152" s="32">
        <v>0</v>
      </c>
      <c r="Z152" s="90">
        <v>0</v>
      </c>
      <c r="AA152" s="94">
        <v>0</v>
      </c>
      <c r="AB152" s="94">
        <v>0</v>
      </c>
      <c r="AC152" s="94">
        <v>0</v>
      </c>
      <c r="AD152" s="94">
        <v>0</v>
      </c>
      <c r="AE152" s="94">
        <v>0</v>
      </c>
      <c r="AF152" s="94">
        <v>0</v>
      </c>
      <c r="AG152" s="94">
        <v>0</v>
      </c>
      <c r="AH152" s="94">
        <v>0</v>
      </c>
      <c r="AI152" s="94">
        <v>0</v>
      </c>
      <c r="AJ152" s="94">
        <v>0</v>
      </c>
      <c r="AK152" s="28">
        <v>0</v>
      </c>
      <c r="AL152" s="32">
        <v>1165.116</v>
      </c>
      <c r="AM152" s="32">
        <v>0</v>
      </c>
      <c r="AN152" s="32">
        <v>0</v>
      </c>
      <c r="AO152" s="32">
        <v>0</v>
      </c>
      <c r="AP152" s="32">
        <v>0</v>
      </c>
      <c r="AQ152" s="32">
        <v>0</v>
      </c>
      <c r="AR152" s="73">
        <v>0</v>
      </c>
      <c r="AS152" s="32">
        <v>0</v>
      </c>
      <c r="AT152" s="32">
        <v>0</v>
      </c>
      <c r="AU152" s="32">
        <v>0</v>
      </c>
      <c r="AV152" s="32">
        <v>0</v>
      </c>
      <c r="AW152" s="32">
        <v>0</v>
      </c>
      <c r="AX152" s="90">
        <v>0</v>
      </c>
      <c r="AY152" s="94">
        <v>0</v>
      </c>
      <c r="AZ152" s="94">
        <v>0</v>
      </c>
      <c r="BA152" s="94">
        <v>0</v>
      </c>
      <c r="BB152" s="94">
        <v>0</v>
      </c>
      <c r="BC152" s="94">
        <v>0</v>
      </c>
      <c r="BD152" s="94">
        <v>0</v>
      </c>
      <c r="BE152" s="94">
        <v>0</v>
      </c>
      <c r="BF152" s="94">
        <v>0</v>
      </c>
      <c r="BG152" s="94">
        <v>0</v>
      </c>
      <c r="BH152" s="94">
        <v>0</v>
      </c>
      <c r="BI152" s="94">
        <v>465.541</v>
      </c>
      <c r="BJ152" s="90">
        <v>0</v>
      </c>
      <c r="BK152" s="94">
        <v>0</v>
      </c>
      <c r="BL152" s="94">
        <v>0</v>
      </c>
      <c r="BM152" s="94">
        <v>0</v>
      </c>
      <c r="BN152" s="94">
        <v>0</v>
      </c>
      <c r="BO152" s="94">
        <v>0</v>
      </c>
      <c r="BP152" s="94">
        <v>0</v>
      </c>
      <c r="BQ152" s="94">
        <v>0</v>
      </c>
      <c r="BR152" s="94">
        <v>0</v>
      </c>
      <c r="BS152" s="94">
        <v>0</v>
      </c>
      <c r="BT152" s="94">
        <v>0</v>
      </c>
      <c r="BU152" s="28">
        <v>0</v>
      </c>
      <c r="BV152" s="90">
        <v>0</v>
      </c>
      <c r="BW152" s="94">
        <v>0</v>
      </c>
      <c r="BX152" s="94">
        <v>1165.116</v>
      </c>
      <c r="BY152" s="94">
        <v>0</v>
      </c>
      <c r="BZ152" s="94">
        <v>0</v>
      </c>
      <c r="CA152" s="94">
        <v>0</v>
      </c>
      <c r="CB152" s="94">
        <v>0</v>
      </c>
      <c r="CC152" s="94">
        <v>0</v>
      </c>
      <c r="CD152" s="94">
        <v>0</v>
      </c>
      <c r="CE152" s="94">
        <v>0</v>
      </c>
      <c r="CF152" s="94">
        <v>0</v>
      </c>
      <c r="CG152" s="94">
        <v>0</v>
      </c>
      <c r="CH152" s="90">
        <v>0</v>
      </c>
      <c r="CI152" s="94">
        <v>0</v>
      </c>
      <c r="CJ152" s="94">
        <v>13707.132</v>
      </c>
      <c r="CK152" s="94">
        <v>0</v>
      </c>
      <c r="CL152" s="94">
        <v>0</v>
      </c>
      <c r="CM152" s="94">
        <v>0</v>
      </c>
      <c r="CN152" s="94">
        <v>15146.519</v>
      </c>
      <c r="CO152" s="94">
        <v>0</v>
      </c>
      <c r="CP152" s="94">
        <v>0</v>
      </c>
      <c r="CQ152" s="94">
        <v>0</v>
      </c>
      <c r="CR152" s="94">
        <v>0</v>
      </c>
      <c r="CS152" s="28">
        <v>0</v>
      </c>
      <c r="CT152" s="90">
        <v>0</v>
      </c>
      <c r="CU152" s="94">
        <v>0</v>
      </c>
      <c r="CV152" s="94">
        <v>0</v>
      </c>
      <c r="CW152" s="94">
        <v>0</v>
      </c>
      <c r="CX152" s="94">
        <v>0</v>
      </c>
      <c r="CY152" s="94">
        <v>0</v>
      </c>
      <c r="CZ152" s="94">
        <v>0</v>
      </c>
      <c r="DA152" s="94">
        <v>0</v>
      </c>
      <c r="DB152" s="94">
        <v>0</v>
      </c>
      <c r="DC152" s="94">
        <v>0</v>
      </c>
      <c r="DD152" s="94">
        <v>0</v>
      </c>
      <c r="DE152" s="28">
        <v>0</v>
      </c>
      <c r="DF152" s="90">
        <v>0</v>
      </c>
      <c r="DG152" s="94">
        <v>0</v>
      </c>
      <c r="DH152" s="94">
        <v>0</v>
      </c>
      <c r="DI152" s="94">
        <v>0</v>
      </c>
      <c r="DJ152" s="94">
        <v>0</v>
      </c>
      <c r="DK152" s="94">
        <v>0</v>
      </c>
      <c r="DL152" s="94">
        <v>0</v>
      </c>
      <c r="DM152" s="94">
        <v>0</v>
      </c>
      <c r="DN152" s="94">
        <v>0</v>
      </c>
      <c r="DO152" s="94">
        <v>0</v>
      </c>
      <c r="DP152" s="94">
        <v>0</v>
      </c>
      <c r="DQ152" s="28">
        <v>0</v>
      </c>
      <c r="DR152" s="90">
        <v>0</v>
      </c>
      <c r="DS152" s="94">
        <v>0</v>
      </c>
      <c r="DT152" s="94">
        <v>0</v>
      </c>
      <c r="DU152" s="94">
        <v>0</v>
      </c>
      <c r="DV152" s="94">
        <v>0</v>
      </c>
      <c r="DW152" s="94">
        <v>0</v>
      </c>
      <c r="DX152" s="94">
        <v>0</v>
      </c>
      <c r="DY152" s="94">
        <v>0</v>
      </c>
      <c r="DZ152" s="94">
        <v>0</v>
      </c>
      <c r="EA152" s="94">
        <v>0</v>
      </c>
      <c r="EB152" s="94">
        <v>0</v>
      </c>
      <c r="EC152" s="28">
        <v>0</v>
      </c>
      <c r="ED152" s="28">
        <f t="shared" si="415"/>
        <v>31649.423999999999</v>
      </c>
      <c r="EE152" s="32"/>
    </row>
    <row r="153" spans="1:135">
      <c r="A153" t="s">
        <v>1585</v>
      </c>
      <c r="B153" s="76"/>
      <c r="C153">
        <v>0</v>
      </c>
      <c r="D153">
        <v>0</v>
      </c>
      <c r="E153">
        <v>0</v>
      </c>
      <c r="F153">
        <v>0</v>
      </c>
      <c r="G153">
        <v>0</v>
      </c>
      <c r="H153">
        <v>0</v>
      </c>
      <c r="I153">
        <v>0</v>
      </c>
      <c r="J153">
        <v>0</v>
      </c>
      <c r="K153">
        <v>0</v>
      </c>
      <c r="L153">
        <v>0</v>
      </c>
      <c r="M153">
        <v>0</v>
      </c>
      <c r="N153" s="32">
        <v>0</v>
      </c>
      <c r="O153" s="32">
        <v>0</v>
      </c>
      <c r="P153" s="32">
        <v>0</v>
      </c>
      <c r="Q153" s="32">
        <v>0</v>
      </c>
      <c r="R153" s="32">
        <v>0</v>
      </c>
      <c r="S153" s="32">
        <v>0</v>
      </c>
      <c r="T153" s="32">
        <v>0</v>
      </c>
      <c r="U153" s="32">
        <v>0</v>
      </c>
      <c r="V153" s="32">
        <v>0</v>
      </c>
      <c r="W153" s="32">
        <v>0</v>
      </c>
      <c r="X153" s="32">
        <v>0</v>
      </c>
      <c r="Y153" s="32">
        <v>0</v>
      </c>
      <c r="Z153" s="90">
        <v>0</v>
      </c>
      <c r="AA153" s="94">
        <v>0</v>
      </c>
      <c r="AB153" s="94">
        <v>0</v>
      </c>
      <c r="AC153" s="94">
        <v>0</v>
      </c>
      <c r="AD153" s="94">
        <v>0</v>
      </c>
      <c r="AE153" s="94">
        <v>0</v>
      </c>
      <c r="AF153" s="94">
        <v>0</v>
      </c>
      <c r="AG153" s="94">
        <v>0</v>
      </c>
      <c r="AH153" s="94">
        <v>0</v>
      </c>
      <c r="AI153" s="94">
        <v>0</v>
      </c>
      <c r="AJ153" s="94">
        <v>0</v>
      </c>
      <c r="AK153" s="28">
        <v>0</v>
      </c>
      <c r="AL153" s="32">
        <v>0</v>
      </c>
      <c r="AM153" s="32">
        <v>0</v>
      </c>
      <c r="AN153" s="32">
        <v>0</v>
      </c>
      <c r="AO153" s="32">
        <v>0</v>
      </c>
      <c r="AP153" s="32">
        <v>0</v>
      </c>
      <c r="AQ153" s="32">
        <v>0</v>
      </c>
      <c r="AR153" s="73">
        <v>0</v>
      </c>
      <c r="AS153" s="32">
        <v>0</v>
      </c>
      <c r="AT153" s="32">
        <v>0</v>
      </c>
      <c r="AU153" s="32">
        <v>0</v>
      </c>
      <c r="AV153" s="32">
        <v>0</v>
      </c>
      <c r="AW153" s="32">
        <v>0</v>
      </c>
      <c r="AX153" s="90">
        <v>0</v>
      </c>
      <c r="AY153" s="94">
        <v>0</v>
      </c>
      <c r="AZ153" s="94">
        <v>0</v>
      </c>
      <c r="BA153" s="94">
        <v>0</v>
      </c>
      <c r="BB153" s="94">
        <v>0</v>
      </c>
      <c r="BC153" s="94">
        <v>0</v>
      </c>
      <c r="BD153" s="94">
        <v>0</v>
      </c>
      <c r="BE153" s="94">
        <v>0</v>
      </c>
      <c r="BF153" s="94">
        <v>0</v>
      </c>
      <c r="BG153" s="94">
        <v>0</v>
      </c>
      <c r="BH153" s="94">
        <v>0</v>
      </c>
      <c r="BI153" s="94">
        <v>0</v>
      </c>
      <c r="BJ153" s="90">
        <v>0</v>
      </c>
      <c r="BK153" s="94">
        <v>0</v>
      </c>
      <c r="BL153" s="94">
        <v>0</v>
      </c>
      <c r="BM153" s="94">
        <v>0</v>
      </c>
      <c r="BN153" s="94">
        <v>0</v>
      </c>
      <c r="BO153" s="94">
        <v>0</v>
      </c>
      <c r="BP153" s="94">
        <v>0</v>
      </c>
      <c r="BQ153" s="94">
        <v>0</v>
      </c>
      <c r="BR153" s="94">
        <v>0</v>
      </c>
      <c r="BS153" s="94">
        <v>0</v>
      </c>
      <c r="BT153" s="94">
        <v>0</v>
      </c>
      <c r="BU153" s="28">
        <v>0</v>
      </c>
      <c r="BV153" s="90">
        <v>0</v>
      </c>
      <c r="BW153" s="94">
        <v>0</v>
      </c>
      <c r="BX153" s="94">
        <v>0</v>
      </c>
      <c r="BY153" s="94">
        <v>0</v>
      </c>
      <c r="BZ153" s="94">
        <v>0</v>
      </c>
      <c r="CA153" s="94">
        <v>0</v>
      </c>
      <c r="CB153" s="94">
        <v>0</v>
      </c>
      <c r="CC153" s="94">
        <v>0</v>
      </c>
      <c r="CD153" s="94">
        <v>0</v>
      </c>
      <c r="CE153" s="94">
        <v>0</v>
      </c>
      <c r="CF153" s="94">
        <v>0</v>
      </c>
      <c r="CG153" s="94">
        <v>0</v>
      </c>
      <c r="CH153" s="90">
        <v>0</v>
      </c>
      <c r="CI153" s="94">
        <v>0</v>
      </c>
      <c r="CJ153" s="94">
        <v>0</v>
      </c>
      <c r="CK153" s="94">
        <v>0</v>
      </c>
      <c r="CL153" s="94">
        <v>0</v>
      </c>
      <c r="CM153" s="94">
        <v>0</v>
      </c>
      <c r="CN153" s="94">
        <v>0</v>
      </c>
      <c r="CO153" s="94">
        <v>0</v>
      </c>
      <c r="CP153" s="94">
        <v>0</v>
      </c>
      <c r="CQ153" s="94">
        <v>0</v>
      </c>
      <c r="CR153" s="94">
        <v>0</v>
      </c>
      <c r="CS153" s="28">
        <v>0</v>
      </c>
      <c r="CT153" s="90">
        <v>0</v>
      </c>
      <c r="CU153" s="94">
        <v>0</v>
      </c>
      <c r="CV153" s="94">
        <v>0</v>
      </c>
      <c r="CW153" s="94">
        <v>0</v>
      </c>
      <c r="CX153" s="94">
        <v>0</v>
      </c>
      <c r="CY153" s="94">
        <v>0</v>
      </c>
      <c r="CZ153" s="94">
        <v>0</v>
      </c>
      <c r="DA153" s="94">
        <v>0</v>
      </c>
      <c r="DB153" s="94">
        <v>0</v>
      </c>
      <c r="DC153" s="94">
        <v>0</v>
      </c>
      <c r="DD153" s="94">
        <v>0</v>
      </c>
      <c r="DE153" s="28">
        <v>0</v>
      </c>
      <c r="DF153" s="90">
        <v>0</v>
      </c>
      <c r="DG153" s="94">
        <v>0</v>
      </c>
      <c r="DH153" s="94">
        <v>0</v>
      </c>
      <c r="DI153" s="94">
        <v>0</v>
      </c>
      <c r="DJ153" s="94">
        <v>0</v>
      </c>
      <c r="DK153" s="94">
        <v>0</v>
      </c>
      <c r="DL153" s="94">
        <v>0</v>
      </c>
      <c r="DM153" s="94">
        <v>0</v>
      </c>
      <c r="DN153" s="94">
        <v>0</v>
      </c>
      <c r="DO153" s="94">
        <v>0</v>
      </c>
      <c r="DP153" s="94">
        <v>0</v>
      </c>
      <c r="DQ153" s="28">
        <v>0</v>
      </c>
      <c r="DR153" s="90">
        <v>0</v>
      </c>
      <c r="DS153" s="94">
        <v>0</v>
      </c>
      <c r="DT153" s="94">
        <v>0</v>
      </c>
      <c r="DU153" s="94">
        <v>0</v>
      </c>
      <c r="DV153" s="94">
        <v>0</v>
      </c>
      <c r="DW153" s="94">
        <v>0</v>
      </c>
      <c r="DX153" s="94">
        <v>0</v>
      </c>
      <c r="DY153" s="94">
        <v>0</v>
      </c>
      <c r="DZ153" s="94">
        <v>0</v>
      </c>
      <c r="EA153" s="94">
        <v>0</v>
      </c>
      <c r="EB153" s="94">
        <v>0</v>
      </c>
      <c r="EC153" s="28">
        <v>0</v>
      </c>
      <c r="ED153" s="28">
        <f t="shared" si="415"/>
        <v>0</v>
      </c>
      <c r="EE153" s="32"/>
    </row>
    <row r="154" spans="1:135">
      <c r="A154" t="s">
        <v>701</v>
      </c>
      <c r="B154" s="76"/>
      <c r="C154">
        <v>0</v>
      </c>
      <c r="D154">
        <v>0</v>
      </c>
      <c r="E154">
        <v>0</v>
      </c>
      <c r="F154">
        <v>0</v>
      </c>
      <c r="G154">
        <v>0</v>
      </c>
      <c r="H154">
        <v>0</v>
      </c>
      <c r="I154">
        <v>0</v>
      </c>
      <c r="J154">
        <v>0</v>
      </c>
      <c r="K154">
        <v>0</v>
      </c>
      <c r="L154">
        <v>0</v>
      </c>
      <c r="M154">
        <v>0</v>
      </c>
      <c r="N154" s="32">
        <v>0</v>
      </c>
      <c r="O154" s="32">
        <v>0</v>
      </c>
      <c r="P154" s="32">
        <v>0</v>
      </c>
      <c r="Q154" s="32">
        <v>0</v>
      </c>
      <c r="R154" s="32">
        <v>0</v>
      </c>
      <c r="S154" s="32">
        <v>0</v>
      </c>
      <c r="T154" s="32">
        <v>0</v>
      </c>
      <c r="U154" s="32">
        <v>0</v>
      </c>
      <c r="V154" s="32">
        <v>0</v>
      </c>
      <c r="W154" s="32">
        <v>0</v>
      </c>
      <c r="X154" s="32">
        <v>0</v>
      </c>
      <c r="Y154" s="32">
        <v>0</v>
      </c>
      <c r="Z154" s="90">
        <v>0</v>
      </c>
      <c r="AA154" s="94">
        <v>0</v>
      </c>
      <c r="AB154" s="94">
        <v>0</v>
      </c>
      <c r="AC154" s="94">
        <v>0</v>
      </c>
      <c r="AD154" s="94">
        <v>0</v>
      </c>
      <c r="AE154" s="94">
        <v>0</v>
      </c>
      <c r="AF154" s="94">
        <v>0</v>
      </c>
      <c r="AG154" s="94">
        <v>0</v>
      </c>
      <c r="AH154" s="94">
        <v>0</v>
      </c>
      <c r="AI154" s="94">
        <v>0</v>
      </c>
      <c r="AJ154" s="94">
        <v>0</v>
      </c>
      <c r="AK154" s="28">
        <v>0</v>
      </c>
      <c r="AL154" s="32">
        <v>0</v>
      </c>
      <c r="AM154" s="32">
        <v>0</v>
      </c>
      <c r="AN154" s="32">
        <v>0</v>
      </c>
      <c r="AO154" s="32">
        <v>0</v>
      </c>
      <c r="AP154" s="32">
        <v>0</v>
      </c>
      <c r="AQ154" s="32">
        <v>0</v>
      </c>
      <c r="AR154" s="73">
        <v>0</v>
      </c>
      <c r="AS154" s="32">
        <v>0</v>
      </c>
      <c r="AT154" s="32">
        <v>0</v>
      </c>
      <c r="AU154" s="32">
        <v>0</v>
      </c>
      <c r="AV154" s="32">
        <v>0</v>
      </c>
      <c r="AW154" s="32">
        <v>0</v>
      </c>
      <c r="AX154" s="90">
        <v>0</v>
      </c>
      <c r="AY154" s="94">
        <v>0</v>
      </c>
      <c r="AZ154" s="94">
        <v>0</v>
      </c>
      <c r="BA154" s="94">
        <v>0</v>
      </c>
      <c r="BB154" s="94">
        <v>0</v>
      </c>
      <c r="BC154" s="94">
        <v>0</v>
      </c>
      <c r="BD154" s="94">
        <v>0</v>
      </c>
      <c r="BE154" s="94">
        <v>0</v>
      </c>
      <c r="BF154" s="94">
        <v>0</v>
      </c>
      <c r="BG154" s="94">
        <v>0</v>
      </c>
      <c r="BH154" s="94">
        <v>0</v>
      </c>
      <c r="BI154" s="94">
        <v>0</v>
      </c>
      <c r="BJ154" s="90">
        <v>0</v>
      </c>
      <c r="BK154" s="94">
        <v>0</v>
      </c>
      <c r="BL154" s="94">
        <v>0</v>
      </c>
      <c r="BM154" s="94">
        <v>0</v>
      </c>
      <c r="BN154" s="94">
        <v>0</v>
      </c>
      <c r="BO154" s="94">
        <v>0</v>
      </c>
      <c r="BP154" s="94">
        <v>0</v>
      </c>
      <c r="BQ154" s="94">
        <v>0</v>
      </c>
      <c r="BR154" s="94">
        <v>0</v>
      </c>
      <c r="BS154" s="94">
        <v>0</v>
      </c>
      <c r="BT154" s="94">
        <v>0</v>
      </c>
      <c r="BU154" s="28">
        <v>0</v>
      </c>
      <c r="BV154" s="90">
        <v>0</v>
      </c>
      <c r="BW154" s="94">
        <v>0</v>
      </c>
      <c r="BX154" s="94">
        <v>0</v>
      </c>
      <c r="BY154" s="94">
        <v>0</v>
      </c>
      <c r="BZ154" s="94">
        <v>0</v>
      </c>
      <c r="CA154" s="94">
        <v>0</v>
      </c>
      <c r="CB154" s="94">
        <v>0</v>
      </c>
      <c r="CC154" s="94">
        <v>0</v>
      </c>
      <c r="CD154" s="94">
        <v>0</v>
      </c>
      <c r="CE154" s="94">
        <v>0</v>
      </c>
      <c r="CF154" s="94">
        <v>0</v>
      </c>
      <c r="CG154" s="94">
        <v>38.067975000000004</v>
      </c>
      <c r="CH154" s="90">
        <v>0</v>
      </c>
      <c r="CI154" s="94">
        <v>0</v>
      </c>
      <c r="CJ154" s="94">
        <v>0</v>
      </c>
      <c r="CK154" s="94">
        <v>0</v>
      </c>
      <c r="CL154" s="94">
        <v>0</v>
      </c>
      <c r="CM154" s="94">
        <v>0</v>
      </c>
      <c r="CN154" s="94">
        <v>0</v>
      </c>
      <c r="CO154" s="94">
        <v>0</v>
      </c>
      <c r="CP154" s="94">
        <v>0</v>
      </c>
      <c r="CQ154" s="94">
        <v>0</v>
      </c>
      <c r="CR154" s="94">
        <v>0</v>
      </c>
      <c r="CS154" s="28">
        <v>0</v>
      </c>
      <c r="CT154" s="90">
        <v>0</v>
      </c>
      <c r="CU154" s="94">
        <v>0</v>
      </c>
      <c r="CV154" s="94">
        <v>0</v>
      </c>
      <c r="CW154" s="94">
        <v>0</v>
      </c>
      <c r="CX154" s="94">
        <v>0</v>
      </c>
      <c r="CY154" s="94">
        <v>0</v>
      </c>
      <c r="CZ154" s="94">
        <v>0</v>
      </c>
      <c r="DA154" s="94">
        <v>0</v>
      </c>
      <c r="DB154" s="94">
        <v>0</v>
      </c>
      <c r="DC154" s="94">
        <v>0</v>
      </c>
      <c r="DD154" s="94">
        <v>0</v>
      </c>
      <c r="DE154" s="28">
        <v>0</v>
      </c>
      <c r="DF154" s="90">
        <v>0</v>
      </c>
      <c r="DG154" s="94">
        <v>0</v>
      </c>
      <c r="DH154" s="94">
        <v>0</v>
      </c>
      <c r="DI154" s="94">
        <v>0</v>
      </c>
      <c r="DJ154" s="94">
        <v>0</v>
      </c>
      <c r="DK154" s="94">
        <v>0</v>
      </c>
      <c r="DL154" s="94">
        <v>0</v>
      </c>
      <c r="DM154" s="94">
        <v>0</v>
      </c>
      <c r="DN154" s="94">
        <v>0</v>
      </c>
      <c r="DO154" s="94">
        <v>0</v>
      </c>
      <c r="DP154" s="94">
        <v>0</v>
      </c>
      <c r="DQ154" s="28">
        <v>0</v>
      </c>
      <c r="DR154" s="90">
        <v>0</v>
      </c>
      <c r="DS154" s="94">
        <v>0</v>
      </c>
      <c r="DT154" s="94">
        <v>0</v>
      </c>
      <c r="DU154" s="94">
        <v>0</v>
      </c>
      <c r="DV154" s="94">
        <v>0</v>
      </c>
      <c r="DW154" s="94">
        <v>0</v>
      </c>
      <c r="DX154" s="94">
        <v>0</v>
      </c>
      <c r="DY154" s="94">
        <v>0</v>
      </c>
      <c r="DZ154" s="94">
        <v>0</v>
      </c>
      <c r="EA154" s="94">
        <v>0</v>
      </c>
      <c r="EB154" s="94">
        <v>0</v>
      </c>
      <c r="EC154" s="28">
        <v>0</v>
      </c>
      <c r="ED154" s="28">
        <f t="shared" si="415"/>
        <v>38.067975000000004</v>
      </c>
      <c r="EE154" s="32"/>
    </row>
    <row r="155" spans="1:135">
      <c r="A155" t="s">
        <v>897</v>
      </c>
      <c r="B155" s="76"/>
      <c r="C155">
        <v>0</v>
      </c>
      <c r="D155">
        <v>0</v>
      </c>
      <c r="E155">
        <v>0</v>
      </c>
      <c r="F155">
        <v>0</v>
      </c>
      <c r="G155">
        <v>0</v>
      </c>
      <c r="H155">
        <v>0</v>
      </c>
      <c r="I155">
        <v>0</v>
      </c>
      <c r="J155">
        <v>0</v>
      </c>
      <c r="K155">
        <v>0</v>
      </c>
      <c r="L155">
        <v>0</v>
      </c>
      <c r="M155">
        <v>0</v>
      </c>
      <c r="N155" s="32">
        <v>0</v>
      </c>
      <c r="O155" s="32">
        <v>0</v>
      </c>
      <c r="P155" s="32">
        <v>0</v>
      </c>
      <c r="Q155" s="32">
        <v>0</v>
      </c>
      <c r="R155" s="32">
        <v>0</v>
      </c>
      <c r="S155" s="32">
        <v>0</v>
      </c>
      <c r="T155" s="32">
        <v>0</v>
      </c>
      <c r="U155" s="32">
        <v>0</v>
      </c>
      <c r="V155" s="32">
        <v>0</v>
      </c>
      <c r="W155" s="32">
        <v>0</v>
      </c>
      <c r="X155" s="32">
        <v>0</v>
      </c>
      <c r="Y155" s="32">
        <v>0</v>
      </c>
      <c r="Z155" s="90">
        <v>0</v>
      </c>
      <c r="AA155" s="94">
        <v>0</v>
      </c>
      <c r="AB155" s="94">
        <v>0</v>
      </c>
      <c r="AC155" s="94">
        <v>0</v>
      </c>
      <c r="AD155" s="94">
        <v>0</v>
      </c>
      <c r="AE155" s="94">
        <v>0</v>
      </c>
      <c r="AF155" s="94">
        <v>0</v>
      </c>
      <c r="AG155" s="94">
        <v>0</v>
      </c>
      <c r="AH155" s="94">
        <v>0</v>
      </c>
      <c r="AI155" s="94">
        <v>0</v>
      </c>
      <c r="AJ155" s="94">
        <v>0</v>
      </c>
      <c r="AK155" s="28">
        <v>0</v>
      </c>
      <c r="AL155" s="32">
        <v>0</v>
      </c>
      <c r="AM155" s="32">
        <v>0</v>
      </c>
      <c r="AN155" s="32">
        <v>0</v>
      </c>
      <c r="AO155" s="32">
        <v>0</v>
      </c>
      <c r="AP155" s="32">
        <v>0</v>
      </c>
      <c r="AQ155" s="32">
        <v>0</v>
      </c>
      <c r="AR155" s="73">
        <v>0</v>
      </c>
      <c r="AS155" s="32">
        <v>0</v>
      </c>
      <c r="AT155" s="32">
        <v>0</v>
      </c>
      <c r="AU155" s="32">
        <v>0</v>
      </c>
      <c r="AV155" s="32">
        <v>0</v>
      </c>
      <c r="AW155" s="32">
        <v>0</v>
      </c>
      <c r="AX155" s="90">
        <v>0</v>
      </c>
      <c r="AY155" s="94">
        <v>0</v>
      </c>
      <c r="AZ155" s="94">
        <v>0</v>
      </c>
      <c r="BA155" s="94">
        <v>0</v>
      </c>
      <c r="BB155" s="94">
        <v>0</v>
      </c>
      <c r="BC155" s="94">
        <v>0</v>
      </c>
      <c r="BD155" s="94">
        <v>0</v>
      </c>
      <c r="BE155" s="94">
        <v>0</v>
      </c>
      <c r="BF155" s="94">
        <v>0</v>
      </c>
      <c r="BG155" s="94">
        <v>0</v>
      </c>
      <c r="BH155" s="94">
        <v>0</v>
      </c>
      <c r="BI155" s="94">
        <v>0</v>
      </c>
      <c r="BJ155" s="90">
        <v>0</v>
      </c>
      <c r="BK155" s="94">
        <v>0</v>
      </c>
      <c r="BL155" s="94">
        <v>0</v>
      </c>
      <c r="BM155" s="94">
        <v>0</v>
      </c>
      <c r="BN155" s="94">
        <v>0</v>
      </c>
      <c r="BO155" s="94">
        <v>0</v>
      </c>
      <c r="BP155" s="94">
        <v>0</v>
      </c>
      <c r="BQ155" s="94">
        <v>0</v>
      </c>
      <c r="BR155" s="94">
        <v>0</v>
      </c>
      <c r="BS155" s="94">
        <v>0</v>
      </c>
      <c r="BT155" s="94">
        <v>0</v>
      </c>
      <c r="BU155" s="28">
        <v>0</v>
      </c>
      <c r="BV155" s="90">
        <v>0</v>
      </c>
      <c r="BW155" s="94">
        <v>0</v>
      </c>
      <c r="BX155" s="94">
        <v>0</v>
      </c>
      <c r="BY155" s="94">
        <v>0</v>
      </c>
      <c r="BZ155" s="94">
        <v>0</v>
      </c>
      <c r="CA155" s="94">
        <v>0</v>
      </c>
      <c r="CB155" s="94">
        <v>0</v>
      </c>
      <c r="CC155" s="94">
        <v>0</v>
      </c>
      <c r="CD155" s="94">
        <v>0</v>
      </c>
      <c r="CE155" s="94">
        <v>0</v>
      </c>
      <c r="CF155" s="94">
        <v>0</v>
      </c>
      <c r="CG155" s="94">
        <v>0</v>
      </c>
      <c r="CH155" s="90">
        <v>0</v>
      </c>
      <c r="CI155" s="94">
        <v>0</v>
      </c>
      <c r="CJ155" s="94">
        <v>0</v>
      </c>
      <c r="CK155" s="94">
        <v>0</v>
      </c>
      <c r="CL155" s="94">
        <v>0</v>
      </c>
      <c r="CM155" s="94">
        <v>0</v>
      </c>
      <c r="CN155" s="94">
        <v>0</v>
      </c>
      <c r="CO155" s="94">
        <v>0</v>
      </c>
      <c r="CP155" s="94">
        <v>0</v>
      </c>
      <c r="CQ155" s="94">
        <v>0</v>
      </c>
      <c r="CR155" s="94">
        <v>0</v>
      </c>
      <c r="CS155" s="28">
        <v>0</v>
      </c>
      <c r="CT155" s="90">
        <v>0</v>
      </c>
      <c r="CU155" s="94">
        <v>0</v>
      </c>
      <c r="CV155" s="94">
        <v>0</v>
      </c>
      <c r="CW155" s="94">
        <v>0</v>
      </c>
      <c r="CX155" s="94">
        <v>0</v>
      </c>
      <c r="CY155" s="94">
        <v>0</v>
      </c>
      <c r="CZ155" s="94">
        <v>0</v>
      </c>
      <c r="DA155" s="94">
        <v>0</v>
      </c>
      <c r="DB155" s="94">
        <v>0</v>
      </c>
      <c r="DC155" s="94">
        <v>0</v>
      </c>
      <c r="DD155" s="94">
        <v>0</v>
      </c>
      <c r="DE155" s="28">
        <v>0</v>
      </c>
      <c r="DF155" s="90">
        <v>0</v>
      </c>
      <c r="DG155" s="94">
        <v>0</v>
      </c>
      <c r="DH155" s="94">
        <v>0</v>
      </c>
      <c r="DI155" s="94">
        <v>0</v>
      </c>
      <c r="DJ155" s="94">
        <v>0</v>
      </c>
      <c r="DK155" s="94">
        <v>0</v>
      </c>
      <c r="DL155" s="94">
        <v>0</v>
      </c>
      <c r="DM155" s="94">
        <v>0</v>
      </c>
      <c r="DN155" s="94">
        <v>0</v>
      </c>
      <c r="DO155" s="94">
        <v>0</v>
      </c>
      <c r="DP155" s="94">
        <v>0</v>
      </c>
      <c r="DQ155" s="28">
        <v>0</v>
      </c>
      <c r="DR155" s="90">
        <v>0</v>
      </c>
      <c r="DS155" s="94">
        <v>0</v>
      </c>
      <c r="DT155" s="94">
        <v>0</v>
      </c>
      <c r="DU155" s="94">
        <v>0</v>
      </c>
      <c r="DV155" s="94">
        <v>0</v>
      </c>
      <c r="DW155" s="94">
        <v>0</v>
      </c>
      <c r="DX155" s="94">
        <v>0</v>
      </c>
      <c r="DY155" s="94">
        <v>0</v>
      </c>
      <c r="DZ155" s="94">
        <v>0</v>
      </c>
      <c r="EA155" s="94">
        <v>0</v>
      </c>
      <c r="EB155" s="94">
        <v>0</v>
      </c>
      <c r="EC155" s="28">
        <v>0</v>
      </c>
      <c r="ED155" s="28">
        <f t="shared" si="415"/>
        <v>0</v>
      </c>
      <c r="EE155" s="32"/>
    </row>
    <row r="156" spans="1:135">
      <c r="A156" t="s">
        <v>1483</v>
      </c>
      <c r="B156" s="76"/>
      <c r="C156">
        <v>0</v>
      </c>
      <c r="D156">
        <v>0</v>
      </c>
      <c r="E156">
        <v>0</v>
      </c>
      <c r="F156">
        <v>0</v>
      </c>
      <c r="G156">
        <v>0</v>
      </c>
      <c r="H156">
        <v>0</v>
      </c>
      <c r="I156">
        <v>0</v>
      </c>
      <c r="J156">
        <v>0</v>
      </c>
      <c r="K156">
        <v>0</v>
      </c>
      <c r="L156">
        <v>0</v>
      </c>
      <c r="M156">
        <v>0</v>
      </c>
      <c r="N156" s="32">
        <v>0</v>
      </c>
      <c r="O156" s="32">
        <v>0</v>
      </c>
      <c r="P156" s="32">
        <v>0</v>
      </c>
      <c r="Q156" s="32">
        <v>0</v>
      </c>
      <c r="R156" s="32">
        <v>0</v>
      </c>
      <c r="S156" s="32">
        <v>0</v>
      </c>
      <c r="T156" s="32">
        <v>0</v>
      </c>
      <c r="U156" s="32">
        <v>0</v>
      </c>
      <c r="V156" s="32">
        <v>0</v>
      </c>
      <c r="W156" s="32">
        <v>0</v>
      </c>
      <c r="X156" s="32">
        <v>0</v>
      </c>
      <c r="Y156" s="32">
        <v>0</v>
      </c>
      <c r="Z156" s="90">
        <v>0</v>
      </c>
      <c r="AA156" s="94">
        <v>0</v>
      </c>
      <c r="AB156" s="94">
        <v>0</v>
      </c>
      <c r="AC156" s="94">
        <v>0</v>
      </c>
      <c r="AD156" s="94">
        <v>0</v>
      </c>
      <c r="AE156" s="94">
        <v>0</v>
      </c>
      <c r="AF156" s="94">
        <v>0</v>
      </c>
      <c r="AG156" s="94">
        <v>0</v>
      </c>
      <c r="AH156" s="94">
        <v>0</v>
      </c>
      <c r="AI156" s="94">
        <v>0</v>
      </c>
      <c r="AJ156" s="94">
        <v>0</v>
      </c>
      <c r="AK156" s="28">
        <v>0</v>
      </c>
      <c r="AL156" s="32">
        <v>0</v>
      </c>
      <c r="AM156" s="32">
        <v>0</v>
      </c>
      <c r="AN156" s="32">
        <v>0</v>
      </c>
      <c r="AO156" s="32">
        <v>0</v>
      </c>
      <c r="AP156" s="32">
        <v>0</v>
      </c>
      <c r="AQ156" s="32">
        <v>0</v>
      </c>
      <c r="AR156" s="73">
        <v>0</v>
      </c>
      <c r="AS156" s="32">
        <v>0</v>
      </c>
      <c r="AT156" s="32">
        <v>0</v>
      </c>
      <c r="AU156" s="32">
        <v>0</v>
      </c>
      <c r="AV156" s="32">
        <v>0</v>
      </c>
      <c r="AW156" s="32">
        <v>0</v>
      </c>
      <c r="AX156" s="90">
        <v>0</v>
      </c>
      <c r="AY156" s="94">
        <v>0</v>
      </c>
      <c r="AZ156" s="94">
        <v>0</v>
      </c>
      <c r="BA156" s="94">
        <v>0</v>
      </c>
      <c r="BB156" s="94">
        <v>0</v>
      </c>
      <c r="BC156" s="94">
        <v>0</v>
      </c>
      <c r="BD156" s="94">
        <v>0</v>
      </c>
      <c r="BE156" s="94">
        <v>0</v>
      </c>
      <c r="BF156" s="94">
        <v>0</v>
      </c>
      <c r="BG156" s="94">
        <v>0</v>
      </c>
      <c r="BH156" s="94">
        <v>0</v>
      </c>
      <c r="BI156" s="94">
        <v>0</v>
      </c>
      <c r="BJ156" s="90">
        <v>0</v>
      </c>
      <c r="BK156" s="94">
        <v>0</v>
      </c>
      <c r="BL156" s="94">
        <v>0</v>
      </c>
      <c r="BM156" s="94">
        <v>0</v>
      </c>
      <c r="BN156" s="94">
        <v>0</v>
      </c>
      <c r="BO156" s="94">
        <v>0</v>
      </c>
      <c r="BP156" s="94">
        <v>0</v>
      </c>
      <c r="BQ156" s="94">
        <v>0</v>
      </c>
      <c r="BR156" s="94">
        <v>0</v>
      </c>
      <c r="BS156" s="94">
        <v>0</v>
      </c>
      <c r="BT156" s="94">
        <v>0</v>
      </c>
      <c r="BU156" s="28">
        <v>0</v>
      </c>
      <c r="BV156" s="90">
        <v>0</v>
      </c>
      <c r="BW156" s="94">
        <v>0</v>
      </c>
      <c r="BX156" s="94">
        <v>0</v>
      </c>
      <c r="BY156" s="94">
        <v>0</v>
      </c>
      <c r="BZ156" s="94">
        <v>0</v>
      </c>
      <c r="CA156" s="94">
        <v>0</v>
      </c>
      <c r="CB156" s="94">
        <v>0</v>
      </c>
      <c r="CC156" s="94">
        <v>0</v>
      </c>
      <c r="CD156" s="94">
        <v>0</v>
      </c>
      <c r="CE156" s="94">
        <v>0</v>
      </c>
      <c r="CF156" s="94">
        <v>4611.8149999999996</v>
      </c>
      <c r="CG156" s="94">
        <v>0</v>
      </c>
      <c r="CH156" s="90">
        <v>0</v>
      </c>
      <c r="CI156" s="94">
        <v>0</v>
      </c>
      <c r="CJ156" s="94">
        <v>0</v>
      </c>
      <c r="CK156" s="94">
        <v>0</v>
      </c>
      <c r="CL156" s="94">
        <v>0</v>
      </c>
      <c r="CM156" s="94">
        <v>0</v>
      </c>
      <c r="CN156" s="94">
        <v>0</v>
      </c>
      <c r="CO156" s="94">
        <v>2830.3470000000002</v>
      </c>
      <c r="CP156" s="94">
        <v>0</v>
      </c>
      <c r="CQ156" s="94">
        <v>1781.472</v>
      </c>
      <c r="CR156" s="94">
        <v>0</v>
      </c>
      <c r="CS156" s="28">
        <v>0</v>
      </c>
      <c r="CT156" s="90">
        <v>0</v>
      </c>
      <c r="CU156" s="94">
        <v>0</v>
      </c>
      <c r="CV156" s="94">
        <v>0</v>
      </c>
      <c r="CW156" s="94">
        <v>0</v>
      </c>
      <c r="CX156" s="94">
        <v>0</v>
      </c>
      <c r="CY156" s="94">
        <v>0</v>
      </c>
      <c r="CZ156" s="94">
        <v>0</v>
      </c>
      <c r="DA156" s="94">
        <v>0</v>
      </c>
      <c r="DB156" s="94">
        <v>0</v>
      </c>
      <c r="DC156" s="94">
        <v>0</v>
      </c>
      <c r="DD156" s="94">
        <v>0</v>
      </c>
      <c r="DE156" s="28">
        <v>0</v>
      </c>
      <c r="DF156" s="90">
        <v>0</v>
      </c>
      <c r="DG156" s="94">
        <v>0</v>
      </c>
      <c r="DH156" s="94">
        <v>0</v>
      </c>
      <c r="DI156" s="94">
        <v>0</v>
      </c>
      <c r="DJ156" s="94">
        <v>0</v>
      </c>
      <c r="DK156" s="94">
        <v>0</v>
      </c>
      <c r="DL156" s="94">
        <v>0</v>
      </c>
      <c r="DM156" s="94">
        <v>0</v>
      </c>
      <c r="DN156" s="94">
        <v>0</v>
      </c>
      <c r="DO156" s="94">
        <v>0</v>
      </c>
      <c r="DP156" s="94">
        <v>0</v>
      </c>
      <c r="DQ156" s="28">
        <v>0</v>
      </c>
      <c r="DR156" s="90">
        <v>0</v>
      </c>
      <c r="DS156" s="94">
        <v>0</v>
      </c>
      <c r="DT156" s="94">
        <v>0</v>
      </c>
      <c r="DU156" s="94">
        <v>0</v>
      </c>
      <c r="DV156" s="94">
        <v>0</v>
      </c>
      <c r="DW156" s="94">
        <v>0</v>
      </c>
      <c r="DX156" s="94">
        <v>0</v>
      </c>
      <c r="DY156" s="94">
        <v>0</v>
      </c>
      <c r="DZ156" s="94">
        <v>0</v>
      </c>
      <c r="EA156" s="94">
        <v>0</v>
      </c>
      <c r="EB156" s="94">
        <v>0</v>
      </c>
      <c r="EC156" s="28">
        <v>0</v>
      </c>
      <c r="ED156" s="28">
        <f t="shared" si="415"/>
        <v>9223.634</v>
      </c>
      <c r="EE156" s="32"/>
    </row>
    <row r="157" spans="1:135">
      <c r="A157" t="s">
        <v>970</v>
      </c>
      <c r="B157" s="76"/>
      <c r="C157">
        <v>0</v>
      </c>
      <c r="D157">
        <v>0</v>
      </c>
      <c r="E157">
        <v>0</v>
      </c>
      <c r="F157">
        <v>0</v>
      </c>
      <c r="G157">
        <v>0</v>
      </c>
      <c r="H157">
        <v>0</v>
      </c>
      <c r="I157">
        <v>0</v>
      </c>
      <c r="J157">
        <v>0</v>
      </c>
      <c r="K157">
        <v>0</v>
      </c>
      <c r="L157">
        <v>0</v>
      </c>
      <c r="M157">
        <v>0</v>
      </c>
      <c r="N157" s="32">
        <v>0</v>
      </c>
      <c r="O157" s="32">
        <v>0</v>
      </c>
      <c r="P157" s="32">
        <v>0</v>
      </c>
      <c r="Q157" s="32">
        <v>0</v>
      </c>
      <c r="R157" s="32">
        <v>0</v>
      </c>
      <c r="S157" s="32">
        <v>0</v>
      </c>
      <c r="T157" s="32">
        <v>0</v>
      </c>
      <c r="U157" s="32">
        <v>0</v>
      </c>
      <c r="V157" s="32">
        <v>0</v>
      </c>
      <c r="W157" s="32">
        <v>0</v>
      </c>
      <c r="X157" s="32">
        <v>597.82669999999996</v>
      </c>
      <c r="Y157" s="32">
        <v>0</v>
      </c>
      <c r="Z157" s="47">
        <v>1067.4099999999999</v>
      </c>
      <c r="AA157" s="95">
        <v>0</v>
      </c>
      <c r="AB157" s="95">
        <v>484.49025</v>
      </c>
      <c r="AC157" s="95">
        <v>0</v>
      </c>
      <c r="AD157" s="95">
        <v>2955.3240000000001</v>
      </c>
      <c r="AE157" s="95">
        <v>0</v>
      </c>
      <c r="AF157" s="95">
        <v>0</v>
      </c>
      <c r="AG157" s="95">
        <v>0</v>
      </c>
      <c r="AH157" s="95">
        <v>0</v>
      </c>
      <c r="AI157" s="95">
        <v>0</v>
      </c>
      <c r="AJ157" s="95">
        <v>0</v>
      </c>
      <c r="AK157" s="29">
        <v>0</v>
      </c>
      <c r="AL157" s="32">
        <v>0</v>
      </c>
      <c r="AM157" s="32">
        <v>0</v>
      </c>
      <c r="AN157" s="32">
        <v>0</v>
      </c>
      <c r="AO157" s="32">
        <v>0</v>
      </c>
      <c r="AP157" s="32">
        <v>787.23775000000001</v>
      </c>
      <c r="AQ157" s="32">
        <v>1394.578</v>
      </c>
      <c r="AR157" s="73">
        <v>1199.25</v>
      </c>
      <c r="AS157" s="32">
        <v>0</v>
      </c>
      <c r="AT157" s="32">
        <v>0</v>
      </c>
      <c r="AU157" s="32">
        <v>218.42699999999999</v>
      </c>
      <c r="AV157" s="32">
        <v>0</v>
      </c>
      <c r="AW157" s="32">
        <v>0</v>
      </c>
      <c r="AX157" s="47">
        <v>0</v>
      </c>
      <c r="AY157" s="95">
        <v>0</v>
      </c>
      <c r="AZ157" s="95">
        <v>414.84750000000003</v>
      </c>
      <c r="BA157" s="95">
        <v>46.584000000000003</v>
      </c>
      <c r="BB157" s="95">
        <v>0</v>
      </c>
      <c r="BC157" s="95">
        <v>0</v>
      </c>
      <c r="BD157" s="95">
        <v>0</v>
      </c>
      <c r="BE157" s="95">
        <v>191.44400000000002</v>
      </c>
      <c r="BF157" s="95">
        <v>793.44200000000001</v>
      </c>
      <c r="BG157" s="95">
        <v>0</v>
      </c>
      <c r="BH157" s="95">
        <v>44.673749999999998</v>
      </c>
      <c r="BI157" s="95">
        <v>73.617999999999995</v>
      </c>
      <c r="BJ157" s="47">
        <v>0</v>
      </c>
      <c r="BK157" s="95">
        <v>0</v>
      </c>
      <c r="BL157" s="95">
        <v>0</v>
      </c>
      <c r="BM157" s="95">
        <v>0</v>
      </c>
      <c r="BN157" s="95">
        <v>0</v>
      </c>
      <c r="BO157" s="95">
        <v>23.221</v>
      </c>
      <c r="BP157" s="95">
        <v>0</v>
      </c>
      <c r="BQ157" s="95">
        <v>219.44</v>
      </c>
      <c r="BR157" s="95">
        <v>0</v>
      </c>
      <c r="BS157" s="95">
        <v>179.509511</v>
      </c>
      <c r="BT157" s="95">
        <v>0</v>
      </c>
      <c r="BU157" s="29">
        <v>0</v>
      </c>
      <c r="BV157" s="47">
        <v>144.035</v>
      </c>
      <c r="BW157" s="95">
        <v>0</v>
      </c>
      <c r="BX157" s="95">
        <v>462.42900000000003</v>
      </c>
      <c r="BY157" s="95">
        <v>0</v>
      </c>
      <c r="BZ157" s="95">
        <v>0</v>
      </c>
      <c r="CA157" s="95">
        <v>0</v>
      </c>
      <c r="CB157" s="95">
        <v>257.447</v>
      </c>
      <c r="CC157" s="95">
        <v>0</v>
      </c>
      <c r="CD157" s="95">
        <v>0</v>
      </c>
      <c r="CE157" s="95">
        <v>29.936970000000002</v>
      </c>
      <c r="CF157" s="95">
        <v>118.93</v>
      </c>
      <c r="CG157" s="95">
        <v>2.3327499999999999</v>
      </c>
      <c r="CH157" s="90">
        <v>0</v>
      </c>
      <c r="CI157" s="94">
        <v>0</v>
      </c>
      <c r="CJ157" s="94">
        <v>0</v>
      </c>
      <c r="CK157" s="94">
        <v>0</v>
      </c>
      <c r="CL157" s="94">
        <v>27.109500000000001</v>
      </c>
      <c r="CM157" s="94">
        <v>0</v>
      </c>
      <c r="CN157" s="94">
        <v>0</v>
      </c>
      <c r="CO157" s="94">
        <v>0</v>
      </c>
      <c r="CP157" s="94">
        <v>0</v>
      </c>
      <c r="CQ157" s="94">
        <v>188.26400000000001</v>
      </c>
      <c r="CR157" s="94">
        <v>0</v>
      </c>
      <c r="CS157" s="28">
        <v>22.257000000000001</v>
      </c>
      <c r="CT157" s="90">
        <v>2076.8440000000001</v>
      </c>
      <c r="CU157" s="94">
        <v>0</v>
      </c>
      <c r="CV157" s="94">
        <v>0</v>
      </c>
      <c r="CW157" s="94">
        <v>0</v>
      </c>
      <c r="CX157" s="94">
        <v>0</v>
      </c>
      <c r="CY157" s="94">
        <v>0</v>
      </c>
      <c r="CZ157" s="94">
        <v>0</v>
      </c>
      <c r="DA157" s="94">
        <v>0</v>
      </c>
      <c r="DB157" s="94">
        <v>0</v>
      </c>
      <c r="DC157" s="94">
        <v>0</v>
      </c>
      <c r="DD157" s="94">
        <v>0</v>
      </c>
      <c r="DE157" s="28">
        <v>0</v>
      </c>
      <c r="DF157" s="90">
        <v>0</v>
      </c>
      <c r="DG157" s="94">
        <v>0</v>
      </c>
      <c r="DH157" s="94">
        <v>0</v>
      </c>
      <c r="DI157" s="94">
        <v>0</v>
      </c>
      <c r="DJ157" s="94">
        <v>0</v>
      </c>
      <c r="DK157" s="94">
        <v>0</v>
      </c>
      <c r="DL157" s="94">
        <v>0</v>
      </c>
      <c r="DM157" s="94">
        <v>0</v>
      </c>
      <c r="DN157" s="94">
        <v>0</v>
      </c>
      <c r="DO157" s="94">
        <v>0</v>
      </c>
      <c r="DP157" s="94">
        <v>0</v>
      </c>
      <c r="DQ157" s="28">
        <v>0</v>
      </c>
      <c r="DR157" s="90">
        <v>0</v>
      </c>
      <c r="DS157" s="94">
        <v>0</v>
      </c>
      <c r="DT157" s="94">
        <v>0</v>
      </c>
      <c r="DU157" s="94">
        <v>0</v>
      </c>
      <c r="DV157" s="94">
        <v>0</v>
      </c>
      <c r="DW157" s="94">
        <v>0</v>
      </c>
      <c r="DX157" s="94">
        <v>0</v>
      </c>
      <c r="DY157" s="94">
        <v>0</v>
      </c>
      <c r="DZ157" s="94">
        <v>0</v>
      </c>
      <c r="EA157" s="94">
        <v>0</v>
      </c>
      <c r="EB157" s="94">
        <v>0</v>
      </c>
      <c r="EC157" s="28">
        <v>0</v>
      </c>
      <c r="ED157" s="28">
        <f t="shared" si="415"/>
        <v>14020.908681000001</v>
      </c>
      <c r="EE157" s="32"/>
    </row>
    <row r="158" spans="1:135">
      <c r="A158" s="74" t="s">
        <v>974</v>
      </c>
      <c r="B158" s="202"/>
      <c r="C158" s="108"/>
      <c r="D158" s="108"/>
      <c r="E158" s="108"/>
      <c r="F158" s="108"/>
      <c r="G158" s="108"/>
      <c r="H158" s="108"/>
      <c r="I158" s="108"/>
      <c r="J158" s="108"/>
      <c r="K158" s="108"/>
      <c r="L158" s="108"/>
      <c r="M158" s="108"/>
      <c r="N158" s="93">
        <f t="shared" ref="N158:BH158" si="416">SUM(N130:N157)</f>
        <v>0</v>
      </c>
      <c r="O158" s="93">
        <f t="shared" si="416"/>
        <v>0</v>
      </c>
      <c r="P158" s="93">
        <f t="shared" si="416"/>
        <v>0</v>
      </c>
      <c r="Q158" s="93">
        <f t="shared" si="416"/>
        <v>0</v>
      </c>
      <c r="R158" s="93">
        <f t="shared" si="416"/>
        <v>0</v>
      </c>
      <c r="S158" s="93">
        <f t="shared" si="416"/>
        <v>0</v>
      </c>
      <c r="T158" s="93">
        <f t="shared" si="416"/>
        <v>0</v>
      </c>
      <c r="U158" s="93">
        <f t="shared" si="416"/>
        <v>0</v>
      </c>
      <c r="V158" s="93">
        <f t="shared" si="416"/>
        <v>0</v>
      </c>
      <c r="W158" s="93">
        <f t="shared" si="416"/>
        <v>3023.404</v>
      </c>
      <c r="X158" s="93">
        <f t="shared" si="416"/>
        <v>13675.8487</v>
      </c>
      <c r="Y158" s="93">
        <f t="shared" si="416"/>
        <v>38838.46</v>
      </c>
      <c r="Z158" s="109">
        <f t="shared" si="416"/>
        <v>8752.5319999999992</v>
      </c>
      <c r="AA158" s="110">
        <f t="shared" si="416"/>
        <v>14331.094999999999</v>
      </c>
      <c r="AB158" s="110">
        <f t="shared" si="416"/>
        <v>9734.4172500000004</v>
      </c>
      <c r="AC158" s="110">
        <f t="shared" si="416"/>
        <v>566.28700000000003</v>
      </c>
      <c r="AD158" s="110">
        <f t="shared" si="416"/>
        <v>4780.7260000000006</v>
      </c>
      <c r="AE158" s="110">
        <f t="shared" si="416"/>
        <v>12009.148845740001</v>
      </c>
      <c r="AF158" s="110">
        <f t="shared" si="416"/>
        <v>17469.349250000003</v>
      </c>
      <c r="AG158" s="110">
        <f t="shared" si="416"/>
        <v>963.14400000000001</v>
      </c>
      <c r="AH158" s="110">
        <f t="shared" si="416"/>
        <v>4814.7825949999997</v>
      </c>
      <c r="AI158" s="110">
        <f t="shared" si="416"/>
        <v>13614.493356499999</v>
      </c>
      <c r="AJ158" s="110">
        <f t="shared" si="416"/>
        <v>5798.4120089999997</v>
      </c>
      <c r="AK158" s="111">
        <f t="shared" si="416"/>
        <v>9907.67</v>
      </c>
      <c r="AL158" s="93">
        <f t="shared" si="416"/>
        <v>28807.368600000002</v>
      </c>
      <c r="AM158" s="93">
        <f t="shared" si="416"/>
        <v>22367.21</v>
      </c>
      <c r="AN158" s="93">
        <f t="shared" si="416"/>
        <v>33232.539300000004</v>
      </c>
      <c r="AO158" s="93">
        <f t="shared" si="416"/>
        <v>5508.76</v>
      </c>
      <c r="AP158" s="93">
        <f t="shared" si="416"/>
        <v>9542.7531600000002</v>
      </c>
      <c r="AQ158" s="93">
        <f t="shared" si="416"/>
        <v>10794.923000000001</v>
      </c>
      <c r="AR158" s="93">
        <f t="shared" si="416"/>
        <v>10137.925999999999</v>
      </c>
      <c r="AS158" s="93">
        <f t="shared" si="416"/>
        <v>13980.348999999998</v>
      </c>
      <c r="AT158" s="93">
        <f t="shared" si="416"/>
        <v>15211.938590000002</v>
      </c>
      <c r="AU158" s="93">
        <f t="shared" si="416"/>
        <v>1159.0429999999999</v>
      </c>
      <c r="AV158" s="93">
        <f t="shared" si="416"/>
        <v>2908.5079999999998</v>
      </c>
      <c r="AW158" s="93">
        <f t="shared" si="416"/>
        <v>2649.1000000000004</v>
      </c>
      <c r="AX158" s="109">
        <f t="shared" si="416"/>
        <v>0</v>
      </c>
      <c r="AY158" s="110">
        <f t="shared" si="416"/>
        <v>1419.0809999999999</v>
      </c>
      <c r="AZ158" s="110">
        <f t="shared" si="416"/>
        <v>1093.9725000000001</v>
      </c>
      <c r="BA158" s="110">
        <f t="shared" si="416"/>
        <v>1928.2652989999999</v>
      </c>
      <c r="BB158" s="110">
        <f t="shared" si="416"/>
        <v>3552.4520000000002</v>
      </c>
      <c r="BC158" s="110">
        <f t="shared" si="416"/>
        <v>4465.43</v>
      </c>
      <c r="BD158" s="110">
        <f t="shared" si="416"/>
        <v>9482.8845299999994</v>
      </c>
      <c r="BE158" s="110">
        <f t="shared" si="416"/>
        <v>11546.084999999999</v>
      </c>
      <c r="BF158" s="110">
        <f t="shared" si="416"/>
        <v>6692.68</v>
      </c>
      <c r="BG158" s="110">
        <f t="shared" si="416"/>
        <v>5140.4257039999993</v>
      </c>
      <c r="BH158" s="110">
        <f t="shared" si="416"/>
        <v>9786.8737500000007</v>
      </c>
      <c r="BI158" s="110">
        <f t="shared" ref="BI158:BU158" si="417">SUM(BI130:BI157)</f>
        <v>5117.8519999999999</v>
      </c>
      <c r="BJ158" s="109">
        <f t="shared" si="417"/>
        <v>7253.6179999999995</v>
      </c>
      <c r="BK158" s="110">
        <f t="shared" si="417"/>
        <v>5968.9694419999996</v>
      </c>
      <c r="BL158" s="110">
        <f t="shared" si="417"/>
        <v>702.97</v>
      </c>
      <c r="BM158" s="110">
        <f t="shared" si="417"/>
        <v>4541.4629999999997</v>
      </c>
      <c r="BN158" s="110">
        <f t="shared" si="417"/>
        <v>7536.6030000000001</v>
      </c>
      <c r="BO158" s="110">
        <f t="shared" si="417"/>
        <v>15651.587599999999</v>
      </c>
      <c r="BP158" s="110">
        <f t="shared" si="417"/>
        <v>3835.6870000000004</v>
      </c>
      <c r="BQ158" s="110">
        <f t="shared" si="417"/>
        <v>10064.816999999999</v>
      </c>
      <c r="BR158" s="110">
        <f t="shared" si="417"/>
        <v>4774.68</v>
      </c>
      <c r="BS158" s="110">
        <f t="shared" si="417"/>
        <v>3463.5367110000002</v>
      </c>
      <c r="BT158" s="110">
        <f t="shared" si="417"/>
        <v>5032.1969999999992</v>
      </c>
      <c r="BU158" s="111">
        <f t="shared" si="417"/>
        <v>10479.839</v>
      </c>
      <c r="BV158" s="109">
        <f t="shared" ref="BV158:DE158" si="418">SUM(BV130:BV157)</f>
        <v>2903.174</v>
      </c>
      <c r="BW158" s="110">
        <f t="shared" si="418"/>
        <v>2957.8201999999997</v>
      </c>
      <c r="BX158" s="110">
        <f t="shared" si="418"/>
        <v>16797.911</v>
      </c>
      <c r="BY158" s="110">
        <f t="shared" si="418"/>
        <v>4942.4970000000003</v>
      </c>
      <c r="BZ158" s="110">
        <f t="shared" si="418"/>
        <v>16005.5905</v>
      </c>
      <c r="CA158" s="110">
        <f t="shared" si="418"/>
        <v>2773.9974390000002</v>
      </c>
      <c r="CB158" s="110">
        <f t="shared" si="418"/>
        <v>17420.647000000001</v>
      </c>
      <c r="CC158" s="110">
        <f t="shared" si="418"/>
        <v>12844.786000000002</v>
      </c>
      <c r="CD158" s="110">
        <f t="shared" si="418"/>
        <v>20153.513000000003</v>
      </c>
      <c r="CE158" s="110">
        <f t="shared" si="418"/>
        <v>34738.841590000004</v>
      </c>
      <c r="CF158" s="110">
        <f t="shared" si="418"/>
        <v>18743.484499999999</v>
      </c>
      <c r="CG158" s="110">
        <f t="shared" si="418"/>
        <v>35412.105149000003</v>
      </c>
      <c r="CH158" s="109">
        <f t="shared" si="418"/>
        <v>19429.909</v>
      </c>
      <c r="CI158" s="110">
        <f t="shared" si="418"/>
        <v>949.75018899999998</v>
      </c>
      <c r="CJ158" s="110">
        <f t="shared" si="418"/>
        <v>57681.762067999996</v>
      </c>
      <c r="CK158" s="110">
        <f t="shared" si="418"/>
        <v>8198.1049999999996</v>
      </c>
      <c r="CL158" s="110">
        <f t="shared" si="418"/>
        <v>10955.0065</v>
      </c>
      <c r="CM158" s="110">
        <f t="shared" si="418"/>
        <v>7734.076</v>
      </c>
      <c r="CN158" s="110">
        <f t="shared" si="418"/>
        <v>110023.408</v>
      </c>
      <c r="CO158" s="110">
        <f t="shared" si="418"/>
        <v>41524.055000000008</v>
      </c>
      <c r="CP158" s="110">
        <f t="shared" si="418"/>
        <v>13645.357</v>
      </c>
      <c r="CQ158" s="110">
        <f t="shared" si="418"/>
        <v>107758.52740000001</v>
      </c>
      <c r="CR158" s="110">
        <f t="shared" si="418"/>
        <v>94922.588999999993</v>
      </c>
      <c r="CS158" s="111">
        <f t="shared" si="418"/>
        <v>227459.63000000006</v>
      </c>
      <c r="CT158" s="109">
        <f t="shared" si="418"/>
        <v>9405.232</v>
      </c>
      <c r="CU158" s="110">
        <f t="shared" si="418"/>
        <v>259.09800000000001</v>
      </c>
      <c r="CV158" s="110">
        <f t="shared" si="418"/>
        <v>0</v>
      </c>
      <c r="CW158" s="110">
        <f t="shared" si="418"/>
        <v>7840.1760000000004</v>
      </c>
      <c r="CX158" s="110">
        <f t="shared" si="418"/>
        <v>0</v>
      </c>
      <c r="CY158" s="110">
        <f t="shared" si="418"/>
        <v>0</v>
      </c>
      <c r="CZ158" s="110">
        <f t="shared" si="418"/>
        <v>0</v>
      </c>
      <c r="DA158" s="110">
        <f t="shared" si="418"/>
        <v>3093.6210000000001</v>
      </c>
      <c r="DB158" s="110">
        <f t="shared" si="418"/>
        <v>0</v>
      </c>
      <c r="DC158" s="110">
        <f t="shared" si="418"/>
        <v>260.41000000000003</v>
      </c>
      <c r="DD158" s="110">
        <f t="shared" si="418"/>
        <v>0</v>
      </c>
      <c r="DE158" s="111">
        <f t="shared" si="418"/>
        <v>3977.1149999999998</v>
      </c>
      <c r="DF158" s="109">
        <f t="shared" ref="DF158:DQ158" si="419">SUM(DF130:DF157)</f>
        <v>0</v>
      </c>
      <c r="DG158" s="110">
        <f t="shared" si="419"/>
        <v>0</v>
      </c>
      <c r="DH158" s="110">
        <f t="shared" si="419"/>
        <v>0</v>
      </c>
      <c r="DI158" s="110">
        <f t="shared" si="419"/>
        <v>0</v>
      </c>
      <c r="DJ158" s="110">
        <f t="shared" si="419"/>
        <v>0</v>
      </c>
      <c r="DK158" s="110">
        <f t="shared" si="419"/>
        <v>0</v>
      </c>
      <c r="DL158" s="110">
        <f t="shared" si="419"/>
        <v>0</v>
      </c>
      <c r="DM158" s="110">
        <f t="shared" si="419"/>
        <v>0</v>
      </c>
      <c r="DN158" s="110">
        <f t="shared" si="419"/>
        <v>0</v>
      </c>
      <c r="DO158" s="110">
        <f t="shared" si="419"/>
        <v>0</v>
      </c>
      <c r="DP158" s="110">
        <f t="shared" si="419"/>
        <v>0</v>
      </c>
      <c r="DQ158" s="111">
        <f t="shared" si="419"/>
        <v>0</v>
      </c>
      <c r="DR158" s="109">
        <f t="shared" ref="DR158:EC158" si="420">SUM(DR130:DR157)</f>
        <v>0</v>
      </c>
      <c r="DS158" s="110">
        <f t="shared" si="420"/>
        <v>0</v>
      </c>
      <c r="DT158" s="110">
        <f t="shared" si="420"/>
        <v>0</v>
      </c>
      <c r="DU158" s="110">
        <f t="shared" si="420"/>
        <v>0</v>
      </c>
      <c r="DV158" s="110">
        <f t="shared" si="420"/>
        <v>0</v>
      </c>
      <c r="DW158" s="110">
        <f t="shared" si="420"/>
        <v>0</v>
      </c>
      <c r="DX158" s="110">
        <f t="shared" si="420"/>
        <v>0</v>
      </c>
      <c r="DY158" s="110">
        <f t="shared" si="420"/>
        <v>0</v>
      </c>
      <c r="DZ158" s="110">
        <f t="shared" si="420"/>
        <v>0</v>
      </c>
      <c r="EA158" s="110">
        <f t="shared" si="420"/>
        <v>0</v>
      </c>
      <c r="EB158" s="110">
        <f t="shared" si="420"/>
        <v>0</v>
      </c>
      <c r="EC158" s="111">
        <f t="shared" si="420"/>
        <v>0</v>
      </c>
      <c r="ED158" s="111">
        <f t="shared" si="415"/>
        <v>1364924.35272724</v>
      </c>
      <c r="EE158" s="32"/>
    </row>
    <row r="159" spans="1:135">
      <c r="A159" s="74" t="s">
        <v>686</v>
      </c>
      <c r="B159" s="278"/>
      <c r="N159" s="93">
        <f>N149+N133+N145+N147+N150+N155+N156+N157</f>
        <v>0</v>
      </c>
      <c r="O159" s="93">
        <f t="shared" ref="O159:BZ159" si="421">O149+O133+O145+O147+O150+O155+O156+O157</f>
        <v>0</v>
      </c>
      <c r="P159" s="93">
        <f t="shared" si="421"/>
        <v>0</v>
      </c>
      <c r="Q159" s="93">
        <f t="shared" si="421"/>
        <v>0</v>
      </c>
      <c r="R159" s="93">
        <f t="shared" si="421"/>
        <v>0</v>
      </c>
      <c r="S159" s="93">
        <f t="shared" si="421"/>
        <v>0</v>
      </c>
      <c r="T159" s="93">
        <f t="shared" si="421"/>
        <v>0</v>
      </c>
      <c r="U159" s="93">
        <f t="shared" si="421"/>
        <v>0</v>
      </c>
      <c r="V159" s="93">
        <f t="shared" si="421"/>
        <v>0</v>
      </c>
      <c r="W159" s="93">
        <f t="shared" si="421"/>
        <v>0</v>
      </c>
      <c r="X159" s="93">
        <f t="shared" si="421"/>
        <v>3120.4547000000002</v>
      </c>
      <c r="Y159" s="93">
        <f t="shared" si="421"/>
        <v>764.23</v>
      </c>
      <c r="Z159" s="88">
        <f t="shared" si="421"/>
        <v>1067.4099999999999</v>
      </c>
      <c r="AA159" s="93">
        <f t="shared" si="421"/>
        <v>426.34800000000001</v>
      </c>
      <c r="AB159" s="93">
        <f t="shared" si="421"/>
        <v>484.49025</v>
      </c>
      <c r="AC159" s="93">
        <f t="shared" si="421"/>
        <v>0</v>
      </c>
      <c r="AD159" s="93">
        <f t="shared" si="421"/>
        <v>3138.42</v>
      </c>
      <c r="AE159" s="93">
        <f t="shared" si="421"/>
        <v>403.63884574000002</v>
      </c>
      <c r="AF159" s="93">
        <f t="shared" si="421"/>
        <v>0</v>
      </c>
      <c r="AG159" s="93">
        <f t="shared" si="421"/>
        <v>0</v>
      </c>
      <c r="AH159" s="93">
        <f t="shared" si="421"/>
        <v>0</v>
      </c>
      <c r="AI159" s="93">
        <f t="shared" si="421"/>
        <v>0</v>
      </c>
      <c r="AJ159" s="93">
        <f t="shared" si="421"/>
        <v>0</v>
      </c>
      <c r="AK159" s="31">
        <f t="shared" si="421"/>
        <v>255.56</v>
      </c>
      <c r="AL159" s="93">
        <f t="shared" si="421"/>
        <v>0</v>
      </c>
      <c r="AM159" s="93">
        <f t="shared" si="421"/>
        <v>0</v>
      </c>
      <c r="AN159" s="93">
        <f t="shared" si="421"/>
        <v>206.83500000000001</v>
      </c>
      <c r="AO159" s="93">
        <f t="shared" si="421"/>
        <v>0</v>
      </c>
      <c r="AP159" s="93">
        <f t="shared" si="421"/>
        <v>787.23775000000001</v>
      </c>
      <c r="AQ159" s="93">
        <f t="shared" si="421"/>
        <v>1711.3519999999999</v>
      </c>
      <c r="AR159" s="93">
        <f t="shared" si="421"/>
        <v>4649.3559999999998</v>
      </c>
      <c r="AS159" s="93">
        <f t="shared" si="421"/>
        <v>0</v>
      </c>
      <c r="AT159" s="93">
        <f t="shared" si="421"/>
        <v>0</v>
      </c>
      <c r="AU159" s="93">
        <f t="shared" si="421"/>
        <v>312.79699999999997</v>
      </c>
      <c r="AV159" s="93">
        <f t="shared" si="421"/>
        <v>1945.597</v>
      </c>
      <c r="AW159" s="93">
        <f t="shared" si="421"/>
        <v>994.16</v>
      </c>
      <c r="AX159" s="88">
        <f t="shared" si="421"/>
        <v>0</v>
      </c>
      <c r="AY159" s="93">
        <f t="shared" si="421"/>
        <v>0</v>
      </c>
      <c r="AZ159" s="93">
        <f t="shared" si="421"/>
        <v>414.84750000000003</v>
      </c>
      <c r="BA159" s="93">
        <f t="shared" si="421"/>
        <v>252.46899999999999</v>
      </c>
      <c r="BB159" s="93">
        <f t="shared" si="421"/>
        <v>442.58499999999998</v>
      </c>
      <c r="BC159" s="93">
        <f t="shared" si="421"/>
        <v>0</v>
      </c>
      <c r="BD159" s="93">
        <f t="shared" si="421"/>
        <v>522.32000000000005</v>
      </c>
      <c r="BE159" s="93">
        <f t="shared" si="421"/>
        <v>1076.771</v>
      </c>
      <c r="BF159" s="93">
        <f t="shared" si="421"/>
        <v>1124.4110000000001</v>
      </c>
      <c r="BG159" s="93">
        <f t="shared" si="421"/>
        <v>0</v>
      </c>
      <c r="BH159" s="93">
        <f t="shared" si="421"/>
        <v>44.673749999999998</v>
      </c>
      <c r="BI159" s="93">
        <f t="shared" si="421"/>
        <v>1124.1389999999999</v>
      </c>
      <c r="BJ159" s="88">
        <f t="shared" si="421"/>
        <v>581.67100000000005</v>
      </c>
      <c r="BK159" s="93">
        <f t="shared" si="421"/>
        <v>265.005</v>
      </c>
      <c r="BL159" s="93">
        <f t="shared" si="421"/>
        <v>0</v>
      </c>
      <c r="BM159" s="93">
        <f t="shared" si="421"/>
        <v>908.24400000000003</v>
      </c>
      <c r="BN159" s="93">
        <f t="shared" si="421"/>
        <v>0</v>
      </c>
      <c r="BO159" s="93">
        <f t="shared" si="421"/>
        <v>609.221</v>
      </c>
      <c r="BP159" s="93">
        <f t="shared" si="421"/>
        <v>0</v>
      </c>
      <c r="BQ159" s="93">
        <f t="shared" si="421"/>
        <v>219.44</v>
      </c>
      <c r="BR159" s="93">
        <f t="shared" si="421"/>
        <v>244.8</v>
      </c>
      <c r="BS159" s="93">
        <f t="shared" si="421"/>
        <v>295.41671099999996</v>
      </c>
      <c r="BT159" s="93">
        <f t="shared" si="421"/>
        <v>1410.26</v>
      </c>
      <c r="BU159" s="31">
        <f t="shared" si="421"/>
        <v>1231.3700000000001</v>
      </c>
      <c r="BV159" s="88">
        <f t="shared" si="421"/>
        <v>180.98</v>
      </c>
      <c r="BW159" s="93">
        <f t="shared" si="421"/>
        <v>0</v>
      </c>
      <c r="BX159" s="93">
        <f t="shared" si="421"/>
        <v>4318.6320000000005</v>
      </c>
      <c r="BY159" s="93">
        <f t="shared" si="421"/>
        <v>1061.28</v>
      </c>
      <c r="BZ159" s="93">
        <f t="shared" si="421"/>
        <v>414.64699999999999</v>
      </c>
      <c r="CA159" s="93">
        <f t="shared" ref="CA159:ED159" si="422">CA149+CA133+CA145+CA147+CA150+CA155+CA156+CA157</f>
        <v>126.13500000000001</v>
      </c>
      <c r="CB159" s="93">
        <f t="shared" si="422"/>
        <v>1933.433</v>
      </c>
      <c r="CC159" s="93">
        <f t="shared" si="422"/>
        <v>210.26300000000001</v>
      </c>
      <c r="CD159" s="93">
        <f t="shared" si="422"/>
        <v>156.94999999999999</v>
      </c>
      <c r="CE159" s="93">
        <f t="shared" si="422"/>
        <v>29.936970000000002</v>
      </c>
      <c r="CF159" s="93">
        <f t="shared" si="422"/>
        <v>4730.7449999999999</v>
      </c>
      <c r="CG159" s="93">
        <f t="shared" si="422"/>
        <v>2.3327499999999999</v>
      </c>
      <c r="CH159" s="90">
        <f t="shared" si="422"/>
        <v>4035.4009999999998</v>
      </c>
      <c r="CI159" s="94">
        <f t="shared" si="422"/>
        <v>0</v>
      </c>
      <c r="CJ159" s="94">
        <f t="shared" si="422"/>
        <v>212.50800000000001</v>
      </c>
      <c r="CK159" s="94">
        <f t="shared" si="422"/>
        <v>0</v>
      </c>
      <c r="CL159" s="94">
        <f t="shared" si="422"/>
        <v>27.109500000000001</v>
      </c>
      <c r="CM159" s="94">
        <f t="shared" si="422"/>
        <v>1630.9970000000001</v>
      </c>
      <c r="CN159" s="94">
        <f t="shared" si="422"/>
        <v>435.005</v>
      </c>
      <c r="CO159" s="94">
        <f t="shared" si="422"/>
        <v>2830.3470000000002</v>
      </c>
      <c r="CP159" s="94">
        <f t="shared" si="422"/>
        <v>0</v>
      </c>
      <c r="CQ159" s="94">
        <f t="shared" si="422"/>
        <v>2015.1179999999999</v>
      </c>
      <c r="CR159" s="94">
        <f t="shared" si="422"/>
        <v>909.0630000000001</v>
      </c>
      <c r="CS159" s="28">
        <f t="shared" si="422"/>
        <v>22.257000000000001</v>
      </c>
      <c r="CT159" s="90">
        <f t="shared" si="422"/>
        <v>2076.8440000000001</v>
      </c>
      <c r="CU159" s="94">
        <f t="shared" si="422"/>
        <v>0</v>
      </c>
      <c r="CV159" s="94">
        <f t="shared" si="422"/>
        <v>0</v>
      </c>
      <c r="CW159" s="94">
        <f t="shared" si="422"/>
        <v>0</v>
      </c>
      <c r="CX159" s="94">
        <f t="shared" si="422"/>
        <v>0</v>
      </c>
      <c r="CY159" s="94">
        <f t="shared" si="422"/>
        <v>0</v>
      </c>
      <c r="CZ159" s="94">
        <f t="shared" si="422"/>
        <v>0</v>
      </c>
      <c r="DA159" s="94">
        <f t="shared" si="422"/>
        <v>0</v>
      </c>
      <c r="DB159" s="94">
        <f t="shared" si="422"/>
        <v>0</v>
      </c>
      <c r="DC159" s="94">
        <f t="shared" si="422"/>
        <v>0</v>
      </c>
      <c r="DD159" s="94">
        <f t="shared" si="422"/>
        <v>0</v>
      </c>
      <c r="DE159" s="28">
        <f t="shared" si="422"/>
        <v>0</v>
      </c>
      <c r="DF159" s="90">
        <f t="shared" ref="DF159:DQ159" si="423">DF149+DF133+DF145+DF147+DF150+DF155+DF156+DF157</f>
        <v>0</v>
      </c>
      <c r="DG159" s="94">
        <f t="shared" si="423"/>
        <v>0</v>
      </c>
      <c r="DH159" s="94">
        <f t="shared" si="423"/>
        <v>0</v>
      </c>
      <c r="DI159" s="94">
        <f t="shared" si="423"/>
        <v>0</v>
      </c>
      <c r="DJ159" s="94">
        <f t="shared" si="423"/>
        <v>0</v>
      </c>
      <c r="DK159" s="94">
        <f t="shared" si="423"/>
        <v>0</v>
      </c>
      <c r="DL159" s="94">
        <f t="shared" si="423"/>
        <v>0</v>
      </c>
      <c r="DM159" s="94">
        <f t="shared" si="423"/>
        <v>0</v>
      </c>
      <c r="DN159" s="94">
        <f t="shared" si="423"/>
        <v>0</v>
      </c>
      <c r="DO159" s="94">
        <f t="shared" si="423"/>
        <v>0</v>
      </c>
      <c r="DP159" s="94">
        <f t="shared" si="423"/>
        <v>0</v>
      </c>
      <c r="DQ159" s="28">
        <f t="shared" si="423"/>
        <v>0</v>
      </c>
      <c r="DR159" s="90">
        <f t="shared" ref="DR159:EC159" si="424">DR149+DR133+DR145+DR147+DR150+DR155+DR156+DR157</f>
        <v>0</v>
      </c>
      <c r="DS159" s="94">
        <f t="shared" si="424"/>
        <v>0</v>
      </c>
      <c r="DT159" s="94">
        <f t="shared" si="424"/>
        <v>0</v>
      </c>
      <c r="DU159" s="94">
        <f t="shared" si="424"/>
        <v>0</v>
      </c>
      <c r="DV159" s="94">
        <f t="shared" si="424"/>
        <v>0</v>
      </c>
      <c r="DW159" s="94">
        <f t="shared" si="424"/>
        <v>0</v>
      </c>
      <c r="DX159" s="94">
        <f t="shared" si="424"/>
        <v>0</v>
      </c>
      <c r="DY159" s="94">
        <f t="shared" si="424"/>
        <v>0</v>
      </c>
      <c r="DZ159" s="94">
        <f t="shared" si="424"/>
        <v>0</v>
      </c>
      <c r="EA159" s="94">
        <f t="shared" si="424"/>
        <v>0</v>
      </c>
      <c r="EB159" s="94">
        <f t="shared" si="424"/>
        <v>0</v>
      </c>
      <c r="EC159" s="28">
        <f t="shared" si="424"/>
        <v>0</v>
      </c>
      <c r="ED159" s="31">
        <f t="shared" si="422"/>
        <v>58395.514726740003</v>
      </c>
      <c r="EE159" s="32"/>
    </row>
    <row r="160" spans="1:135">
      <c r="A160" s="21" t="s">
        <v>980</v>
      </c>
      <c r="B160" s="258"/>
      <c r="N160" s="94">
        <f t="shared" ref="N160:W160" si="425">+N131+N134+N136+N144+N148+N135</f>
        <v>0</v>
      </c>
      <c r="O160" s="94">
        <f t="shared" si="425"/>
        <v>0</v>
      </c>
      <c r="P160" s="94">
        <f t="shared" si="425"/>
        <v>0</v>
      </c>
      <c r="Q160" s="94">
        <f t="shared" si="425"/>
        <v>0</v>
      </c>
      <c r="R160" s="94">
        <f t="shared" si="425"/>
        <v>0</v>
      </c>
      <c r="S160" s="94">
        <f t="shared" si="425"/>
        <v>0</v>
      </c>
      <c r="T160" s="94">
        <f t="shared" si="425"/>
        <v>0</v>
      </c>
      <c r="U160" s="94">
        <f t="shared" si="425"/>
        <v>0</v>
      </c>
      <c r="V160" s="94">
        <f t="shared" si="425"/>
        <v>0</v>
      </c>
      <c r="W160" s="94">
        <f t="shared" si="425"/>
        <v>0</v>
      </c>
      <c r="X160" s="94">
        <f t="shared" ref="X160:BH160" si="426">+X131+X134+X136+X144+X148+X135</f>
        <v>5009.335</v>
      </c>
      <c r="Y160" s="94">
        <f t="shared" si="426"/>
        <v>36846</v>
      </c>
      <c r="Z160" s="90">
        <f t="shared" si="426"/>
        <v>147.529</v>
      </c>
      <c r="AA160" s="94">
        <f t="shared" si="426"/>
        <v>10740.018</v>
      </c>
      <c r="AB160" s="94">
        <f t="shared" si="426"/>
        <v>4718.5820000000003</v>
      </c>
      <c r="AC160" s="94">
        <f t="shared" si="426"/>
        <v>566.28700000000003</v>
      </c>
      <c r="AD160" s="94">
        <f t="shared" si="426"/>
        <v>1642.306</v>
      </c>
      <c r="AE160" s="94">
        <f t="shared" si="426"/>
        <v>11605.510000000002</v>
      </c>
      <c r="AF160" s="94">
        <f t="shared" si="426"/>
        <v>892.62699999999995</v>
      </c>
      <c r="AG160" s="94">
        <f t="shared" si="426"/>
        <v>0</v>
      </c>
      <c r="AH160" s="94">
        <f t="shared" si="426"/>
        <v>4814.7825949999997</v>
      </c>
      <c r="AI160" s="94">
        <f t="shared" si="426"/>
        <v>5495.0199999999995</v>
      </c>
      <c r="AJ160" s="94">
        <f t="shared" si="426"/>
        <v>2507.8850000000002</v>
      </c>
      <c r="AK160" s="28">
        <f t="shared" si="426"/>
        <v>8227.6849999999995</v>
      </c>
      <c r="AL160" s="94">
        <f t="shared" si="426"/>
        <v>6803.7918</v>
      </c>
      <c r="AM160" s="94">
        <f t="shared" si="426"/>
        <v>909.23500000000001</v>
      </c>
      <c r="AN160" s="94">
        <f t="shared" si="426"/>
        <v>19204.492300000002</v>
      </c>
      <c r="AO160" s="94">
        <f t="shared" si="426"/>
        <v>1070.9079999999999</v>
      </c>
      <c r="AP160" s="94">
        <f t="shared" si="426"/>
        <v>0</v>
      </c>
      <c r="AQ160" s="94">
        <f t="shared" si="426"/>
        <v>1808.1950000000002</v>
      </c>
      <c r="AR160" s="94">
        <f t="shared" si="426"/>
        <v>1488.57</v>
      </c>
      <c r="AS160" s="94">
        <f t="shared" si="426"/>
        <v>4032.8159999999998</v>
      </c>
      <c r="AT160" s="94">
        <f t="shared" si="426"/>
        <v>0</v>
      </c>
      <c r="AU160" s="94">
        <f t="shared" si="426"/>
        <v>846.24599999999998</v>
      </c>
      <c r="AV160" s="94">
        <f t="shared" si="426"/>
        <v>0</v>
      </c>
      <c r="AW160" s="94">
        <f t="shared" si="426"/>
        <v>0</v>
      </c>
      <c r="AX160" s="90">
        <f t="shared" si="426"/>
        <v>0</v>
      </c>
      <c r="AY160" s="94">
        <f t="shared" si="426"/>
        <v>911.27499999999998</v>
      </c>
      <c r="AZ160" s="94">
        <f t="shared" si="426"/>
        <v>434.53300000000002</v>
      </c>
      <c r="BA160" s="94">
        <f t="shared" si="426"/>
        <v>0</v>
      </c>
      <c r="BB160" s="94">
        <f t="shared" si="426"/>
        <v>3109.8670000000002</v>
      </c>
      <c r="BC160" s="94">
        <f t="shared" si="426"/>
        <v>0</v>
      </c>
      <c r="BD160" s="94">
        <f t="shared" si="426"/>
        <v>3290.6865299999999</v>
      </c>
      <c r="BE160" s="94">
        <f t="shared" si="426"/>
        <v>1125.0800000000002</v>
      </c>
      <c r="BF160" s="94">
        <f t="shared" si="426"/>
        <v>2302.174</v>
      </c>
      <c r="BG160" s="94">
        <f t="shared" si="426"/>
        <v>0</v>
      </c>
      <c r="BH160" s="94">
        <f t="shared" si="426"/>
        <v>0</v>
      </c>
      <c r="BI160" s="94">
        <f t="shared" ref="BI160:BU160" si="427">+BI131+BI134+BI136+BI144+BI148+BI135</f>
        <v>879.37799999999993</v>
      </c>
      <c r="BJ160" s="90">
        <f t="shared" si="427"/>
        <v>3197.8739999999998</v>
      </c>
      <c r="BK160" s="94">
        <f t="shared" si="427"/>
        <v>0</v>
      </c>
      <c r="BL160" s="94">
        <f t="shared" si="427"/>
        <v>702.97</v>
      </c>
      <c r="BM160" s="94">
        <f t="shared" si="427"/>
        <v>267.26</v>
      </c>
      <c r="BN160" s="94">
        <f t="shared" si="427"/>
        <v>1108.163</v>
      </c>
      <c r="BO160" s="94">
        <f t="shared" si="427"/>
        <v>3321.95</v>
      </c>
      <c r="BP160" s="94">
        <f t="shared" si="427"/>
        <v>0</v>
      </c>
      <c r="BQ160" s="94">
        <f t="shared" si="427"/>
        <v>5723.3459999999995</v>
      </c>
      <c r="BR160" s="94">
        <f t="shared" si="427"/>
        <v>0</v>
      </c>
      <c r="BS160" s="94">
        <f t="shared" si="427"/>
        <v>0</v>
      </c>
      <c r="BT160" s="94">
        <f t="shared" si="427"/>
        <v>0</v>
      </c>
      <c r="BU160" s="28">
        <f t="shared" si="427"/>
        <v>315.904</v>
      </c>
      <c r="BV160" s="90">
        <f t="shared" ref="BV160:CG160" si="428">+BV131+BV134+BV136+BV144+BV148+BV135</f>
        <v>0</v>
      </c>
      <c r="BW160" s="94">
        <f t="shared" si="428"/>
        <v>590.53100000000006</v>
      </c>
      <c r="BX160" s="94">
        <f t="shared" si="428"/>
        <v>7018.1029999999992</v>
      </c>
      <c r="BY160" s="94">
        <f t="shared" si="428"/>
        <v>434.33100000000002</v>
      </c>
      <c r="BZ160" s="94">
        <f t="shared" si="428"/>
        <v>215.14649999999997</v>
      </c>
      <c r="CA160" s="94">
        <f t="shared" si="428"/>
        <v>500.01918900000004</v>
      </c>
      <c r="CB160" s="94">
        <f t="shared" si="428"/>
        <v>945.6</v>
      </c>
      <c r="CC160" s="94">
        <f t="shared" si="428"/>
        <v>3900.8100000000004</v>
      </c>
      <c r="CD160" s="94">
        <f t="shared" si="428"/>
        <v>2506.1509999999998</v>
      </c>
      <c r="CE160" s="94">
        <f t="shared" si="428"/>
        <v>34066.961620000002</v>
      </c>
      <c r="CF160" s="94">
        <f t="shared" si="428"/>
        <v>8258.9719999999998</v>
      </c>
      <c r="CG160" s="94">
        <f t="shared" si="428"/>
        <v>26038.749000000003</v>
      </c>
      <c r="CH160" s="90">
        <f t="shared" ref="CH160:CS160" si="429">+CH131+CH134+CH136+CH144+CH148+CH135</f>
        <v>0</v>
      </c>
      <c r="CI160" s="94">
        <f t="shared" si="429"/>
        <v>396.72815199999997</v>
      </c>
      <c r="CJ160" s="94">
        <f t="shared" si="429"/>
        <v>13005.850999999999</v>
      </c>
      <c r="CK160" s="94">
        <f t="shared" si="429"/>
        <v>5875.2239999999993</v>
      </c>
      <c r="CL160" s="94">
        <f t="shared" si="429"/>
        <v>10584.626999999999</v>
      </c>
      <c r="CM160" s="94">
        <f t="shared" si="429"/>
        <v>0</v>
      </c>
      <c r="CN160" s="94">
        <f t="shared" si="429"/>
        <v>69296.741999999998</v>
      </c>
      <c r="CO160" s="94">
        <f t="shared" si="429"/>
        <v>31594.114000000001</v>
      </c>
      <c r="CP160" s="94">
        <f t="shared" si="429"/>
        <v>13453.88</v>
      </c>
      <c r="CQ160" s="94">
        <f t="shared" si="429"/>
        <v>93076.235400000005</v>
      </c>
      <c r="CR160" s="94">
        <f t="shared" si="429"/>
        <v>65327.481</v>
      </c>
      <c r="CS160" s="28">
        <f t="shared" si="429"/>
        <v>187087.44300000006</v>
      </c>
      <c r="CT160" s="90">
        <f t="shared" ref="CT160:DE160" si="430">+CT131+CT134+CT136+CT144+CT148+CT135</f>
        <v>3544.4520000000002</v>
      </c>
      <c r="CU160" s="94">
        <f t="shared" si="430"/>
        <v>0</v>
      </c>
      <c r="CV160" s="94">
        <f t="shared" si="430"/>
        <v>0</v>
      </c>
      <c r="CW160" s="94">
        <f t="shared" si="430"/>
        <v>0</v>
      </c>
      <c r="CX160" s="94">
        <f t="shared" si="430"/>
        <v>0</v>
      </c>
      <c r="CY160" s="94">
        <f t="shared" si="430"/>
        <v>0</v>
      </c>
      <c r="CZ160" s="94">
        <f t="shared" si="430"/>
        <v>0</v>
      </c>
      <c r="DA160" s="94">
        <f t="shared" si="430"/>
        <v>0</v>
      </c>
      <c r="DB160" s="94">
        <f t="shared" si="430"/>
        <v>0</v>
      </c>
      <c r="DC160" s="94">
        <f t="shared" si="430"/>
        <v>0</v>
      </c>
      <c r="DD160" s="94">
        <f t="shared" si="430"/>
        <v>0</v>
      </c>
      <c r="DE160" s="28">
        <f t="shared" si="430"/>
        <v>0</v>
      </c>
      <c r="DF160" s="90">
        <f t="shared" ref="DF160:DQ160" si="431">+DF131+DF134+DF136+DF144+DF148+DF135</f>
        <v>0</v>
      </c>
      <c r="DG160" s="94">
        <f t="shared" si="431"/>
        <v>0</v>
      </c>
      <c r="DH160" s="94">
        <f t="shared" si="431"/>
        <v>0</v>
      </c>
      <c r="DI160" s="94">
        <f t="shared" si="431"/>
        <v>0</v>
      </c>
      <c r="DJ160" s="94">
        <f t="shared" si="431"/>
        <v>0</v>
      </c>
      <c r="DK160" s="94">
        <f t="shared" si="431"/>
        <v>0</v>
      </c>
      <c r="DL160" s="94">
        <f t="shared" si="431"/>
        <v>0</v>
      </c>
      <c r="DM160" s="94">
        <f t="shared" si="431"/>
        <v>0</v>
      </c>
      <c r="DN160" s="94">
        <f t="shared" si="431"/>
        <v>0</v>
      </c>
      <c r="DO160" s="94">
        <f t="shared" si="431"/>
        <v>0</v>
      </c>
      <c r="DP160" s="94">
        <f t="shared" si="431"/>
        <v>0</v>
      </c>
      <c r="DQ160" s="28">
        <f t="shared" si="431"/>
        <v>0</v>
      </c>
      <c r="DR160" s="90">
        <f t="shared" ref="DR160:EC160" si="432">+DR131+DR134+DR136+DR144+DR148+DR135</f>
        <v>0</v>
      </c>
      <c r="DS160" s="94">
        <f t="shared" si="432"/>
        <v>0</v>
      </c>
      <c r="DT160" s="94">
        <f t="shared" si="432"/>
        <v>0</v>
      </c>
      <c r="DU160" s="94">
        <f t="shared" si="432"/>
        <v>0</v>
      </c>
      <c r="DV160" s="94">
        <f t="shared" si="432"/>
        <v>0</v>
      </c>
      <c r="DW160" s="94">
        <f t="shared" si="432"/>
        <v>0</v>
      </c>
      <c r="DX160" s="94">
        <f t="shared" si="432"/>
        <v>0</v>
      </c>
      <c r="DY160" s="94">
        <f t="shared" si="432"/>
        <v>0</v>
      </c>
      <c r="DZ160" s="94">
        <f t="shared" si="432"/>
        <v>0</v>
      </c>
      <c r="EA160" s="94">
        <f t="shared" si="432"/>
        <v>0</v>
      </c>
      <c r="EB160" s="94">
        <f t="shared" si="432"/>
        <v>0</v>
      </c>
      <c r="EC160" s="28">
        <f t="shared" si="432"/>
        <v>0</v>
      </c>
      <c r="ED160" s="28">
        <f>+ED131+ED134+ED136+ED144+ED148+ED135</f>
        <v>733786.43308600015</v>
      </c>
      <c r="EE160" s="32"/>
    </row>
    <row r="161" spans="1:135">
      <c r="A161" s="19" t="s">
        <v>1051</v>
      </c>
      <c r="B161" s="258"/>
      <c r="N161" s="94">
        <f t="shared" ref="N161:W161" si="433">+N137+N138+N139+N140+N141+N142+N156</f>
        <v>0</v>
      </c>
      <c r="O161" s="94">
        <f t="shared" si="433"/>
        <v>0</v>
      </c>
      <c r="P161" s="94">
        <f t="shared" si="433"/>
        <v>0</v>
      </c>
      <c r="Q161" s="94">
        <f t="shared" si="433"/>
        <v>0</v>
      </c>
      <c r="R161" s="94">
        <f t="shared" si="433"/>
        <v>0</v>
      </c>
      <c r="S161" s="94">
        <f t="shared" si="433"/>
        <v>0</v>
      </c>
      <c r="T161" s="94">
        <f t="shared" si="433"/>
        <v>0</v>
      </c>
      <c r="U161" s="94">
        <f t="shared" si="433"/>
        <v>0</v>
      </c>
      <c r="V161" s="94">
        <f t="shared" si="433"/>
        <v>0</v>
      </c>
      <c r="W161" s="94">
        <f t="shared" si="433"/>
        <v>3023.404</v>
      </c>
      <c r="X161" s="94">
        <f t="shared" ref="X161:BH161" si="434">+X137+X138+X139+X140+X141+X142+X156</f>
        <v>5546.0590000000002</v>
      </c>
      <c r="Y161" s="94">
        <f t="shared" si="434"/>
        <v>704.82999999999993</v>
      </c>
      <c r="Z161" s="90">
        <f t="shared" si="434"/>
        <v>1437.5929999999998</v>
      </c>
      <c r="AA161" s="94">
        <f t="shared" si="434"/>
        <v>3164.7289999999998</v>
      </c>
      <c r="AB161" s="94">
        <f t="shared" si="434"/>
        <v>4531.3450000000003</v>
      </c>
      <c r="AC161" s="94">
        <f t="shared" si="434"/>
        <v>0</v>
      </c>
      <c r="AD161" s="94">
        <f t="shared" si="434"/>
        <v>0</v>
      </c>
      <c r="AE161" s="94">
        <f t="shared" si="434"/>
        <v>0</v>
      </c>
      <c r="AF161" s="94">
        <f t="shared" si="434"/>
        <v>10296.491000000002</v>
      </c>
      <c r="AG161" s="94">
        <f t="shared" si="434"/>
        <v>0</v>
      </c>
      <c r="AH161" s="94">
        <f t="shared" si="434"/>
        <v>0</v>
      </c>
      <c r="AI161" s="94">
        <f t="shared" si="434"/>
        <v>645.02210000000002</v>
      </c>
      <c r="AJ161" s="94">
        <f t="shared" si="434"/>
        <v>0</v>
      </c>
      <c r="AK161" s="28">
        <f t="shared" si="434"/>
        <v>1424.4250000000002</v>
      </c>
      <c r="AL161" s="94">
        <f t="shared" si="434"/>
        <v>1004.1078</v>
      </c>
      <c r="AM161" s="94">
        <f t="shared" si="434"/>
        <v>0</v>
      </c>
      <c r="AN161" s="94">
        <f t="shared" si="434"/>
        <v>0</v>
      </c>
      <c r="AO161" s="94">
        <f t="shared" si="434"/>
        <v>0</v>
      </c>
      <c r="AP161" s="94">
        <f t="shared" si="434"/>
        <v>671.27679999999998</v>
      </c>
      <c r="AQ161" s="94">
        <f t="shared" si="434"/>
        <v>925.77599999999995</v>
      </c>
      <c r="AR161" s="94">
        <f t="shared" si="434"/>
        <v>0</v>
      </c>
      <c r="AS161" s="94">
        <f t="shared" si="434"/>
        <v>2582.2939999999999</v>
      </c>
      <c r="AT161" s="94">
        <f t="shared" si="434"/>
        <v>2000</v>
      </c>
      <c r="AU161" s="94">
        <f t="shared" si="434"/>
        <v>0</v>
      </c>
      <c r="AV161" s="94">
        <f t="shared" si="434"/>
        <v>173.35499999999999</v>
      </c>
      <c r="AW161" s="94">
        <f t="shared" si="434"/>
        <v>0</v>
      </c>
      <c r="AX161" s="90">
        <f t="shared" si="434"/>
        <v>0</v>
      </c>
      <c r="AY161" s="94">
        <f t="shared" si="434"/>
        <v>0</v>
      </c>
      <c r="AZ161" s="94">
        <f t="shared" si="434"/>
        <v>0</v>
      </c>
      <c r="BA161" s="94">
        <f t="shared" si="434"/>
        <v>1675.7962989999999</v>
      </c>
      <c r="BB161" s="94">
        <f t="shared" si="434"/>
        <v>0</v>
      </c>
      <c r="BC161" s="94">
        <f t="shared" si="434"/>
        <v>1490.43</v>
      </c>
      <c r="BD161" s="94">
        <f t="shared" si="434"/>
        <v>174.94800000000001</v>
      </c>
      <c r="BE161" s="94">
        <f t="shared" si="434"/>
        <v>2708.4180000000001</v>
      </c>
      <c r="BF161" s="94">
        <f t="shared" si="434"/>
        <v>2856.049</v>
      </c>
      <c r="BG161" s="94">
        <f t="shared" si="434"/>
        <v>2411.9872999999998</v>
      </c>
      <c r="BH161" s="94">
        <f t="shared" si="434"/>
        <v>9742.2000000000007</v>
      </c>
      <c r="BI161" s="94">
        <f t="shared" ref="BI161:BU161" si="435">+BI137+BI138+BI139+BI140+BI141+BI142+BI156</f>
        <v>2648.7939999999999</v>
      </c>
      <c r="BJ161" s="90">
        <f t="shared" si="435"/>
        <v>3474.0729999999999</v>
      </c>
      <c r="BK161" s="94">
        <f t="shared" si="435"/>
        <v>3341.6223999999997</v>
      </c>
      <c r="BL161" s="94">
        <f t="shared" si="435"/>
        <v>0</v>
      </c>
      <c r="BM161" s="94">
        <f t="shared" si="435"/>
        <v>2763.7829999999999</v>
      </c>
      <c r="BN161" s="94">
        <f t="shared" si="435"/>
        <v>767.35799999999995</v>
      </c>
      <c r="BO161" s="94">
        <f t="shared" si="435"/>
        <v>11122.4936</v>
      </c>
      <c r="BP161" s="94">
        <f t="shared" si="435"/>
        <v>2716.1930000000002</v>
      </c>
      <c r="BQ161" s="94">
        <f t="shared" si="435"/>
        <v>3669.3779999999997</v>
      </c>
      <c r="BR161" s="94">
        <f t="shared" si="435"/>
        <v>2940.4160000000002</v>
      </c>
      <c r="BS161" s="94">
        <f t="shared" si="435"/>
        <v>3168.12</v>
      </c>
      <c r="BT161" s="94">
        <f t="shared" si="435"/>
        <v>3524.7559999999999</v>
      </c>
      <c r="BU161" s="28">
        <f t="shared" si="435"/>
        <v>8032.5649999999996</v>
      </c>
      <c r="BV161" s="90">
        <f t="shared" ref="BV161:CG161" si="436">+BV137+BV138+BV139+BV140+BV141+BV142+BV156</f>
        <v>2275.2640000000001</v>
      </c>
      <c r="BW161" s="94">
        <f t="shared" si="436"/>
        <v>777.32399999999996</v>
      </c>
      <c r="BX161" s="94">
        <f t="shared" si="436"/>
        <v>3688.2939999999999</v>
      </c>
      <c r="BY161" s="94">
        <f t="shared" si="436"/>
        <v>3359.0259999999998</v>
      </c>
      <c r="BZ161" s="94">
        <f t="shared" si="436"/>
        <v>15375.797</v>
      </c>
      <c r="CA161" s="94">
        <f t="shared" si="436"/>
        <v>2147.8432499999999</v>
      </c>
      <c r="CB161" s="94">
        <f t="shared" si="436"/>
        <v>14541.614</v>
      </c>
      <c r="CC161" s="94">
        <f t="shared" si="436"/>
        <v>8733.7129999999997</v>
      </c>
      <c r="CD161" s="94">
        <f t="shared" si="436"/>
        <v>12578.391</v>
      </c>
      <c r="CE161" s="94">
        <f t="shared" si="436"/>
        <v>641.94299999999998</v>
      </c>
      <c r="CF161" s="94">
        <f t="shared" si="436"/>
        <v>10138.057999999999</v>
      </c>
      <c r="CG161" s="94">
        <f t="shared" si="436"/>
        <v>8960.4004239999995</v>
      </c>
      <c r="CH161" s="90">
        <f t="shared" ref="CH161:CS161" si="437">+CH137+CH138+CH139+CH140+CH141+CH142+CH156</f>
        <v>14833.938999999998</v>
      </c>
      <c r="CI161" s="94">
        <f t="shared" si="437"/>
        <v>553.02203699999995</v>
      </c>
      <c r="CJ161" s="94">
        <f t="shared" si="437"/>
        <v>28838.673638</v>
      </c>
      <c r="CK161" s="94">
        <f t="shared" si="437"/>
        <v>1890.2369999999999</v>
      </c>
      <c r="CL161" s="94">
        <f t="shared" si="437"/>
        <v>343.27</v>
      </c>
      <c r="CM161" s="94">
        <f t="shared" si="437"/>
        <v>5504.3440000000001</v>
      </c>
      <c r="CN161" s="94">
        <f t="shared" si="437"/>
        <v>8945.5910000000003</v>
      </c>
      <c r="CO161" s="94">
        <f t="shared" si="437"/>
        <v>9323.2870000000003</v>
      </c>
      <c r="CP161" s="94">
        <f t="shared" si="437"/>
        <v>191.47699999999998</v>
      </c>
      <c r="CQ161" s="94">
        <f t="shared" si="437"/>
        <v>11373.812</v>
      </c>
      <c r="CR161" s="94">
        <f t="shared" si="437"/>
        <v>27979.621999999999</v>
      </c>
      <c r="CS161" s="28">
        <f t="shared" si="437"/>
        <v>40349.93</v>
      </c>
      <c r="CT161" s="90">
        <f t="shared" ref="CT161:DE161" si="438">+CT137+CT138+CT139+CT140+CT141+CT142+CT156</f>
        <v>3783.9359999999997</v>
      </c>
      <c r="CU161" s="94">
        <f t="shared" si="438"/>
        <v>0</v>
      </c>
      <c r="CV161" s="94">
        <f t="shared" si="438"/>
        <v>0</v>
      </c>
      <c r="CW161" s="94">
        <f t="shared" si="438"/>
        <v>7840.1760000000004</v>
      </c>
      <c r="CX161" s="94">
        <f t="shared" si="438"/>
        <v>0</v>
      </c>
      <c r="CY161" s="94">
        <f t="shared" si="438"/>
        <v>0</v>
      </c>
      <c r="CZ161" s="94">
        <f t="shared" si="438"/>
        <v>0</v>
      </c>
      <c r="DA161" s="94">
        <f t="shared" si="438"/>
        <v>3093.6210000000001</v>
      </c>
      <c r="DB161" s="94">
        <f t="shared" si="438"/>
        <v>0</v>
      </c>
      <c r="DC161" s="94">
        <f t="shared" si="438"/>
        <v>260.41000000000003</v>
      </c>
      <c r="DD161" s="94">
        <f t="shared" si="438"/>
        <v>0</v>
      </c>
      <c r="DE161" s="28">
        <f t="shared" si="438"/>
        <v>3977.1149999999998</v>
      </c>
      <c r="DF161" s="90">
        <f t="shared" ref="DF161:DQ161" si="439">+DF137+DF138+DF139+DF140+DF141+DF142+DF156</f>
        <v>0</v>
      </c>
      <c r="DG161" s="94">
        <f t="shared" si="439"/>
        <v>0</v>
      </c>
      <c r="DH161" s="94">
        <f t="shared" si="439"/>
        <v>0</v>
      </c>
      <c r="DI161" s="94">
        <f t="shared" si="439"/>
        <v>0</v>
      </c>
      <c r="DJ161" s="94">
        <f t="shared" si="439"/>
        <v>0</v>
      </c>
      <c r="DK161" s="94">
        <f t="shared" si="439"/>
        <v>0</v>
      </c>
      <c r="DL161" s="94">
        <f t="shared" si="439"/>
        <v>0</v>
      </c>
      <c r="DM161" s="94">
        <f t="shared" si="439"/>
        <v>0</v>
      </c>
      <c r="DN161" s="94">
        <f t="shared" si="439"/>
        <v>0</v>
      </c>
      <c r="DO161" s="94">
        <f t="shared" si="439"/>
        <v>0</v>
      </c>
      <c r="DP161" s="94">
        <f t="shared" si="439"/>
        <v>0</v>
      </c>
      <c r="DQ161" s="28">
        <f t="shared" si="439"/>
        <v>0</v>
      </c>
      <c r="DR161" s="90">
        <f t="shared" ref="DR161:EC161" si="440">+DR137+DR138+DR139+DR140+DR141+DR142+DR156</f>
        <v>0</v>
      </c>
      <c r="DS161" s="94">
        <f t="shared" si="440"/>
        <v>0</v>
      </c>
      <c r="DT161" s="94">
        <f t="shared" si="440"/>
        <v>0</v>
      </c>
      <c r="DU161" s="94">
        <f t="shared" si="440"/>
        <v>0</v>
      </c>
      <c r="DV161" s="94">
        <f t="shared" si="440"/>
        <v>0</v>
      </c>
      <c r="DW161" s="94">
        <f t="shared" si="440"/>
        <v>0</v>
      </c>
      <c r="DX161" s="94">
        <f t="shared" si="440"/>
        <v>0</v>
      </c>
      <c r="DY161" s="94">
        <f t="shared" si="440"/>
        <v>0</v>
      </c>
      <c r="DZ161" s="94">
        <f t="shared" si="440"/>
        <v>0</v>
      </c>
      <c r="EA161" s="94">
        <f t="shared" si="440"/>
        <v>0</v>
      </c>
      <c r="EB161" s="94">
        <f t="shared" si="440"/>
        <v>0</v>
      </c>
      <c r="EC161" s="28">
        <f t="shared" si="440"/>
        <v>0</v>
      </c>
      <c r="ED161" s="28">
        <f>+ED137+ED138+ED139+ED140+ED141+ED142+ED156</f>
        <v>359660.21864800004</v>
      </c>
      <c r="EE161" s="32"/>
    </row>
    <row r="162" spans="1:135">
      <c r="A162" s="21" t="s">
        <v>1329</v>
      </c>
      <c r="B162" s="258"/>
      <c r="N162" s="94">
        <f t="shared" ref="N162:W162" si="441">+N143</f>
        <v>0</v>
      </c>
      <c r="O162" s="94">
        <f t="shared" si="441"/>
        <v>0</v>
      </c>
      <c r="P162" s="94">
        <f t="shared" si="441"/>
        <v>0</v>
      </c>
      <c r="Q162" s="94">
        <f t="shared" si="441"/>
        <v>0</v>
      </c>
      <c r="R162" s="94">
        <f t="shared" si="441"/>
        <v>0</v>
      </c>
      <c r="S162" s="94">
        <f t="shared" si="441"/>
        <v>0</v>
      </c>
      <c r="T162" s="94">
        <f t="shared" si="441"/>
        <v>0</v>
      </c>
      <c r="U162" s="94">
        <f t="shared" si="441"/>
        <v>0</v>
      </c>
      <c r="V162" s="94">
        <f t="shared" si="441"/>
        <v>0</v>
      </c>
      <c r="W162" s="94">
        <f t="shared" si="441"/>
        <v>0</v>
      </c>
      <c r="X162" s="94">
        <f t="shared" ref="X162:BH162" si="442">+X143</f>
        <v>0</v>
      </c>
      <c r="Y162" s="94">
        <f t="shared" si="442"/>
        <v>523.40000000000009</v>
      </c>
      <c r="Z162" s="90">
        <f t="shared" si="442"/>
        <v>6100</v>
      </c>
      <c r="AA162" s="94">
        <f t="shared" si="442"/>
        <v>0</v>
      </c>
      <c r="AB162" s="94">
        <f t="shared" si="442"/>
        <v>0</v>
      </c>
      <c r="AC162" s="94">
        <f t="shared" si="442"/>
        <v>0</v>
      </c>
      <c r="AD162" s="94">
        <f t="shared" si="442"/>
        <v>0</v>
      </c>
      <c r="AE162" s="94">
        <f t="shared" si="442"/>
        <v>0</v>
      </c>
      <c r="AF162" s="94">
        <f t="shared" si="442"/>
        <v>1066.87375</v>
      </c>
      <c r="AG162" s="94">
        <f t="shared" si="442"/>
        <v>963.14400000000001</v>
      </c>
      <c r="AH162" s="94">
        <f t="shared" si="442"/>
        <v>0</v>
      </c>
      <c r="AI162" s="94">
        <f t="shared" si="442"/>
        <v>0</v>
      </c>
      <c r="AJ162" s="94">
        <f t="shared" si="442"/>
        <v>0</v>
      </c>
      <c r="AK162" s="28">
        <f t="shared" si="442"/>
        <v>0</v>
      </c>
      <c r="AL162" s="94">
        <f t="shared" si="442"/>
        <v>0</v>
      </c>
      <c r="AM162" s="94">
        <f t="shared" si="442"/>
        <v>0</v>
      </c>
      <c r="AN162" s="94">
        <f t="shared" si="442"/>
        <v>0</v>
      </c>
      <c r="AO162" s="94">
        <f t="shared" si="442"/>
        <v>0</v>
      </c>
      <c r="AP162" s="94">
        <f t="shared" si="442"/>
        <v>0</v>
      </c>
      <c r="AQ162" s="94">
        <f t="shared" si="442"/>
        <v>0</v>
      </c>
      <c r="AR162" s="94">
        <f t="shared" si="442"/>
        <v>0</v>
      </c>
      <c r="AS162" s="94">
        <f t="shared" si="442"/>
        <v>0</v>
      </c>
      <c r="AT162" s="94">
        <f t="shared" si="442"/>
        <v>0</v>
      </c>
      <c r="AU162" s="94">
        <f t="shared" si="442"/>
        <v>0</v>
      </c>
      <c r="AV162" s="94">
        <f t="shared" si="442"/>
        <v>0</v>
      </c>
      <c r="AW162" s="94">
        <f t="shared" si="442"/>
        <v>212.02</v>
      </c>
      <c r="AX162" s="90">
        <f t="shared" si="442"/>
        <v>0</v>
      </c>
      <c r="AY162" s="94">
        <f t="shared" si="442"/>
        <v>0</v>
      </c>
      <c r="AZ162" s="94">
        <f t="shared" si="442"/>
        <v>244.59200000000001</v>
      </c>
      <c r="BA162" s="94">
        <f t="shared" si="442"/>
        <v>0</v>
      </c>
      <c r="BB162" s="94">
        <f t="shared" si="442"/>
        <v>0</v>
      </c>
      <c r="BC162" s="94">
        <f t="shared" si="442"/>
        <v>0</v>
      </c>
      <c r="BD162" s="94">
        <f t="shared" si="442"/>
        <v>0</v>
      </c>
      <c r="BE162" s="94">
        <f t="shared" si="442"/>
        <v>0</v>
      </c>
      <c r="BF162" s="94">
        <f t="shared" si="442"/>
        <v>0</v>
      </c>
      <c r="BG162" s="94">
        <f t="shared" si="442"/>
        <v>2728.438404</v>
      </c>
      <c r="BH162" s="94">
        <f t="shared" si="442"/>
        <v>0</v>
      </c>
      <c r="BI162" s="94">
        <f t="shared" ref="BI162:BU162" si="443">+BI143</f>
        <v>0</v>
      </c>
      <c r="BJ162" s="90">
        <f t="shared" si="443"/>
        <v>0</v>
      </c>
      <c r="BK162" s="94">
        <f t="shared" si="443"/>
        <v>0</v>
      </c>
      <c r="BL162" s="94">
        <f t="shared" si="443"/>
        <v>0</v>
      </c>
      <c r="BM162" s="94">
        <f t="shared" si="443"/>
        <v>602.17599999999993</v>
      </c>
      <c r="BN162" s="94">
        <f t="shared" si="443"/>
        <v>1441.1560000000002</v>
      </c>
      <c r="BO162" s="94">
        <f t="shared" si="443"/>
        <v>0</v>
      </c>
      <c r="BP162" s="94">
        <f t="shared" si="443"/>
        <v>0</v>
      </c>
      <c r="BQ162" s="94">
        <f t="shared" si="443"/>
        <v>0</v>
      </c>
      <c r="BR162" s="94">
        <f t="shared" si="443"/>
        <v>0</v>
      </c>
      <c r="BS162" s="94">
        <f t="shared" si="443"/>
        <v>0</v>
      </c>
      <c r="BT162" s="94">
        <f t="shared" si="443"/>
        <v>0</v>
      </c>
      <c r="BU162" s="28">
        <f t="shared" si="443"/>
        <v>900</v>
      </c>
      <c r="BV162" s="90">
        <f t="shared" ref="BV162:CG162" si="444">+BV143</f>
        <v>0</v>
      </c>
      <c r="BW162" s="94">
        <f t="shared" si="444"/>
        <v>0</v>
      </c>
      <c r="BX162" s="94">
        <f t="shared" si="444"/>
        <v>607.76599999999996</v>
      </c>
      <c r="BY162" s="94">
        <f t="shared" si="444"/>
        <v>0</v>
      </c>
      <c r="BZ162" s="94">
        <f t="shared" si="444"/>
        <v>0</v>
      </c>
      <c r="CA162" s="94">
        <f t="shared" si="444"/>
        <v>0</v>
      </c>
      <c r="CB162" s="94">
        <f t="shared" si="444"/>
        <v>0</v>
      </c>
      <c r="CC162" s="94">
        <f t="shared" si="444"/>
        <v>0</v>
      </c>
      <c r="CD162" s="94">
        <f t="shared" si="444"/>
        <v>4799.3050000000003</v>
      </c>
      <c r="CE162" s="94">
        <f t="shared" si="444"/>
        <v>0</v>
      </c>
      <c r="CF162" s="94">
        <f t="shared" si="444"/>
        <v>0</v>
      </c>
      <c r="CG162" s="94">
        <f t="shared" si="444"/>
        <v>372.55499999999995</v>
      </c>
      <c r="CH162" s="90">
        <f t="shared" ref="CH162:CS162" si="445">+CH143</f>
        <v>0</v>
      </c>
      <c r="CI162" s="94">
        <f t="shared" si="445"/>
        <v>0</v>
      </c>
      <c r="CJ162" s="94">
        <f t="shared" si="445"/>
        <v>1917.59743</v>
      </c>
      <c r="CK162" s="94">
        <f t="shared" si="445"/>
        <v>0</v>
      </c>
      <c r="CL162" s="94">
        <f t="shared" si="445"/>
        <v>0</v>
      </c>
      <c r="CM162" s="94">
        <f t="shared" si="445"/>
        <v>598.73500000000001</v>
      </c>
      <c r="CN162" s="94">
        <f t="shared" si="445"/>
        <v>14430.657000000001</v>
      </c>
      <c r="CO162" s="94">
        <f t="shared" si="445"/>
        <v>0</v>
      </c>
      <c r="CP162" s="94">
        <f t="shared" si="445"/>
        <v>0</v>
      </c>
      <c r="CQ162" s="94">
        <f t="shared" si="445"/>
        <v>3074.8339999999998</v>
      </c>
      <c r="CR162" s="94">
        <f t="shared" si="445"/>
        <v>706.423</v>
      </c>
      <c r="CS162" s="28">
        <f t="shared" si="445"/>
        <v>0</v>
      </c>
      <c r="CT162" s="90">
        <f t="shared" ref="CT162:DE162" si="446">+CT143</f>
        <v>0</v>
      </c>
      <c r="CU162" s="94">
        <f t="shared" si="446"/>
        <v>0</v>
      </c>
      <c r="CV162" s="94">
        <f t="shared" si="446"/>
        <v>0</v>
      </c>
      <c r="CW162" s="94">
        <f t="shared" si="446"/>
        <v>0</v>
      </c>
      <c r="CX162" s="94">
        <f t="shared" si="446"/>
        <v>0</v>
      </c>
      <c r="CY162" s="94">
        <f t="shared" si="446"/>
        <v>0</v>
      </c>
      <c r="CZ162" s="94">
        <f t="shared" si="446"/>
        <v>0</v>
      </c>
      <c r="DA162" s="94">
        <f t="shared" si="446"/>
        <v>0</v>
      </c>
      <c r="DB162" s="94">
        <f t="shared" si="446"/>
        <v>0</v>
      </c>
      <c r="DC162" s="94">
        <f t="shared" si="446"/>
        <v>0</v>
      </c>
      <c r="DD162" s="94">
        <f t="shared" si="446"/>
        <v>0</v>
      </c>
      <c r="DE162" s="28">
        <f t="shared" si="446"/>
        <v>0</v>
      </c>
      <c r="DF162" s="90">
        <f t="shared" ref="DF162:DQ162" si="447">+DF143</f>
        <v>0</v>
      </c>
      <c r="DG162" s="94">
        <f t="shared" si="447"/>
        <v>0</v>
      </c>
      <c r="DH162" s="94">
        <f t="shared" si="447"/>
        <v>0</v>
      </c>
      <c r="DI162" s="94">
        <f t="shared" si="447"/>
        <v>0</v>
      </c>
      <c r="DJ162" s="94">
        <f t="shared" si="447"/>
        <v>0</v>
      </c>
      <c r="DK162" s="94">
        <f t="shared" si="447"/>
        <v>0</v>
      </c>
      <c r="DL162" s="94">
        <f t="shared" si="447"/>
        <v>0</v>
      </c>
      <c r="DM162" s="94">
        <f t="shared" si="447"/>
        <v>0</v>
      </c>
      <c r="DN162" s="94">
        <f t="shared" si="447"/>
        <v>0</v>
      </c>
      <c r="DO162" s="94">
        <f t="shared" si="447"/>
        <v>0</v>
      </c>
      <c r="DP162" s="94">
        <f t="shared" si="447"/>
        <v>0</v>
      </c>
      <c r="DQ162" s="28">
        <f t="shared" si="447"/>
        <v>0</v>
      </c>
      <c r="DR162" s="90">
        <f t="shared" ref="DR162:EC162" si="448">+DR143</f>
        <v>0</v>
      </c>
      <c r="DS162" s="94">
        <f t="shared" si="448"/>
        <v>0</v>
      </c>
      <c r="DT162" s="94">
        <f t="shared" si="448"/>
        <v>0</v>
      </c>
      <c r="DU162" s="94">
        <f t="shared" si="448"/>
        <v>0</v>
      </c>
      <c r="DV162" s="94">
        <f t="shared" si="448"/>
        <v>0</v>
      </c>
      <c r="DW162" s="94">
        <f t="shared" si="448"/>
        <v>0</v>
      </c>
      <c r="DX162" s="94">
        <f t="shared" si="448"/>
        <v>0</v>
      </c>
      <c r="DY162" s="94">
        <f t="shared" si="448"/>
        <v>0</v>
      </c>
      <c r="DZ162" s="94">
        <f t="shared" si="448"/>
        <v>0</v>
      </c>
      <c r="EA162" s="94">
        <f t="shared" si="448"/>
        <v>0</v>
      </c>
      <c r="EB162" s="94">
        <f t="shared" si="448"/>
        <v>0</v>
      </c>
      <c r="EC162" s="28">
        <f t="shared" si="448"/>
        <v>0</v>
      </c>
      <c r="ED162" s="28">
        <f>+ED143</f>
        <v>41289.672584000007</v>
      </c>
      <c r="EE162" s="32"/>
    </row>
    <row r="163" spans="1:135">
      <c r="A163" s="19" t="s">
        <v>723</v>
      </c>
      <c r="B163" s="258"/>
      <c r="N163" s="94">
        <f t="shared" ref="N163:W163" si="449">+N146+N151+N152</f>
        <v>0</v>
      </c>
      <c r="O163" s="94">
        <f t="shared" si="449"/>
        <v>0</v>
      </c>
      <c r="P163" s="94">
        <f t="shared" si="449"/>
        <v>0</v>
      </c>
      <c r="Q163" s="94">
        <f t="shared" si="449"/>
        <v>0</v>
      </c>
      <c r="R163" s="94">
        <f t="shared" si="449"/>
        <v>0</v>
      </c>
      <c r="S163" s="94">
        <f t="shared" si="449"/>
        <v>0</v>
      </c>
      <c r="T163" s="94">
        <f t="shared" si="449"/>
        <v>0</v>
      </c>
      <c r="U163" s="94">
        <f t="shared" si="449"/>
        <v>0</v>
      </c>
      <c r="V163" s="94">
        <f t="shared" si="449"/>
        <v>0</v>
      </c>
      <c r="W163" s="94">
        <f t="shared" si="449"/>
        <v>0</v>
      </c>
      <c r="X163" s="94">
        <f t="shared" ref="X163:BH163" si="450">+X146+X151+X152</f>
        <v>0</v>
      </c>
      <c r="Y163" s="94">
        <f t="shared" si="450"/>
        <v>0</v>
      </c>
      <c r="Z163" s="90">
        <f t="shared" si="450"/>
        <v>0</v>
      </c>
      <c r="AA163" s="94">
        <f t="shared" si="450"/>
        <v>0</v>
      </c>
      <c r="AB163" s="94">
        <f t="shared" si="450"/>
        <v>0</v>
      </c>
      <c r="AC163" s="94">
        <f t="shared" si="450"/>
        <v>0</v>
      </c>
      <c r="AD163" s="94">
        <f t="shared" si="450"/>
        <v>0</v>
      </c>
      <c r="AE163" s="94">
        <f t="shared" si="450"/>
        <v>0</v>
      </c>
      <c r="AF163" s="94">
        <f t="shared" si="450"/>
        <v>5213.3575000000001</v>
      </c>
      <c r="AG163" s="94">
        <f t="shared" si="450"/>
        <v>0</v>
      </c>
      <c r="AH163" s="94">
        <f t="shared" si="450"/>
        <v>0</v>
      </c>
      <c r="AI163" s="94">
        <f t="shared" si="450"/>
        <v>7474.4512565000005</v>
      </c>
      <c r="AJ163" s="94">
        <f t="shared" si="450"/>
        <v>3290.5270089999999</v>
      </c>
      <c r="AK163" s="28">
        <f t="shared" si="450"/>
        <v>0</v>
      </c>
      <c r="AL163" s="94">
        <f t="shared" si="450"/>
        <v>20999.468999999997</v>
      </c>
      <c r="AM163" s="94">
        <f t="shared" si="450"/>
        <v>21457.974999999999</v>
      </c>
      <c r="AN163" s="94">
        <f t="shared" si="450"/>
        <v>13821.212</v>
      </c>
      <c r="AO163" s="94">
        <f t="shared" si="450"/>
        <v>4437.8519999999999</v>
      </c>
      <c r="AP163" s="94">
        <f t="shared" si="450"/>
        <v>8084.2386099999994</v>
      </c>
      <c r="AQ163" s="94">
        <f t="shared" si="450"/>
        <v>6349.6</v>
      </c>
      <c r="AR163" s="94">
        <f t="shared" si="450"/>
        <v>4000</v>
      </c>
      <c r="AS163" s="94">
        <f t="shared" si="450"/>
        <v>7365.2389999999996</v>
      </c>
      <c r="AT163" s="94">
        <f t="shared" si="450"/>
        <v>13211.938590000002</v>
      </c>
      <c r="AU163" s="94">
        <f t="shared" si="450"/>
        <v>0</v>
      </c>
      <c r="AV163" s="94">
        <f t="shared" si="450"/>
        <v>789.55600000000004</v>
      </c>
      <c r="AW163" s="94">
        <f t="shared" si="450"/>
        <v>1442.92</v>
      </c>
      <c r="AX163" s="90">
        <f t="shared" si="450"/>
        <v>0</v>
      </c>
      <c r="AY163" s="94">
        <f t="shared" si="450"/>
        <v>507.80599999999998</v>
      </c>
      <c r="AZ163" s="94">
        <f t="shared" si="450"/>
        <v>0</v>
      </c>
      <c r="BA163" s="94">
        <f t="shared" si="450"/>
        <v>0</v>
      </c>
      <c r="BB163" s="94">
        <f t="shared" si="450"/>
        <v>0</v>
      </c>
      <c r="BC163" s="94">
        <f t="shared" si="450"/>
        <v>2975</v>
      </c>
      <c r="BD163" s="94">
        <f t="shared" si="450"/>
        <v>5494.93</v>
      </c>
      <c r="BE163" s="94">
        <f t="shared" si="450"/>
        <v>6635.8159999999998</v>
      </c>
      <c r="BF163" s="94">
        <f t="shared" si="450"/>
        <v>0</v>
      </c>
      <c r="BG163" s="94">
        <f t="shared" si="450"/>
        <v>0</v>
      </c>
      <c r="BH163" s="94">
        <f t="shared" si="450"/>
        <v>0</v>
      </c>
      <c r="BI163" s="94">
        <f t="shared" ref="BI163:BU163" si="451">+BI146+BI151+BI152</f>
        <v>465.541</v>
      </c>
      <c r="BJ163" s="90">
        <f t="shared" si="451"/>
        <v>0</v>
      </c>
      <c r="BK163" s="94">
        <f t="shared" si="451"/>
        <v>2362.3420420000002</v>
      </c>
      <c r="BL163" s="94">
        <f t="shared" si="451"/>
        <v>0</v>
      </c>
      <c r="BM163" s="94">
        <f t="shared" si="451"/>
        <v>0</v>
      </c>
      <c r="BN163" s="94">
        <f t="shared" si="451"/>
        <v>4219.9259999999995</v>
      </c>
      <c r="BO163" s="94">
        <f t="shared" si="451"/>
        <v>597.923</v>
      </c>
      <c r="BP163" s="94">
        <f t="shared" si="451"/>
        <v>1119.4940000000001</v>
      </c>
      <c r="BQ163" s="94">
        <f t="shared" si="451"/>
        <v>452.65300000000002</v>
      </c>
      <c r="BR163" s="94">
        <f t="shared" si="451"/>
        <v>1589.4639999999999</v>
      </c>
      <c r="BS163" s="94">
        <f t="shared" si="451"/>
        <v>0</v>
      </c>
      <c r="BT163" s="94">
        <f t="shared" si="451"/>
        <v>97.180999999999997</v>
      </c>
      <c r="BU163" s="28">
        <f t="shared" si="451"/>
        <v>0</v>
      </c>
      <c r="BV163" s="90">
        <f t="shared" ref="BV163:CG163" si="452">+BV146+BV151+BV152</f>
        <v>446.92999999999995</v>
      </c>
      <c r="BW163" s="94">
        <f t="shared" si="452"/>
        <v>1589.9651999999999</v>
      </c>
      <c r="BX163" s="94">
        <f t="shared" si="452"/>
        <v>1165.116</v>
      </c>
      <c r="BY163" s="94">
        <f t="shared" si="452"/>
        <v>87.86</v>
      </c>
      <c r="BZ163" s="94">
        <f t="shared" si="452"/>
        <v>0</v>
      </c>
      <c r="CA163" s="94">
        <f t="shared" si="452"/>
        <v>0</v>
      </c>
      <c r="CB163" s="94">
        <f t="shared" si="452"/>
        <v>0</v>
      </c>
      <c r="CC163" s="94">
        <f t="shared" si="452"/>
        <v>0</v>
      </c>
      <c r="CD163" s="94">
        <f t="shared" si="452"/>
        <v>112.71599999999999</v>
      </c>
      <c r="CE163" s="94">
        <f t="shared" si="452"/>
        <v>0</v>
      </c>
      <c r="CF163" s="94">
        <f t="shared" si="452"/>
        <v>227.52449999999999</v>
      </c>
      <c r="CG163" s="94">
        <f t="shared" si="452"/>
        <v>0</v>
      </c>
      <c r="CH163" s="90">
        <f t="shared" ref="CH163:CS163" si="453">+CH146+CH151+CH152</f>
        <v>0</v>
      </c>
      <c r="CI163" s="94">
        <f t="shared" si="453"/>
        <v>0</v>
      </c>
      <c r="CJ163" s="94">
        <f t="shared" si="453"/>
        <v>13707.132</v>
      </c>
      <c r="CK163" s="94">
        <f t="shared" si="453"/>
        <v>432.64400000000001</v>
      </c>
      <c r="CL163" s="94">
        <f t="shared" si="453"/>
        <v>0</v>
      </c>
      <c r="CM163" s="94">
        <f t="shared" si="453"/>
        <v>0</v>
      </c>
      <c r="CN163" s="94">
        <f t="shared" si="453"/>
        <v>15146.519</v>
      </c>
      <c r="CO163" s="94">
        <f t="shared" si="453"/>
        <v>606.654</v>
      </c>
      <c r="CP163" s="94">
        <f t="shared" si="453"/>
        <v>0</v>
      </c>
      <c r="CQ163" s="94">
        <f t="shared" si="453"/>
        <v>0</v>
      </c>
      <c r="CR163" s="94">
        <f t="shared" si="453"/>
        <v>0</v>
      </c>
      <c r="CS163" s="28">
        <f t="shared" si="453"/>
        <v>0</v>
      </c>
      <c r="CT163" s="90">
        <f t="shared" ref="CT163:DE163" si="454">+CT146+CT151+CT152</f>
        <v>0</v>
      </c>
      <c r="CU163" s="94">
        <f t="shared" si="454"/>
        <v>259.09800000000001</v>
      </c>
      <c r="CV163" s="94">
        <f t="shared" si="454"/>
        <v>0</v>
      </c>
      <c r="CW163" s="94">
        <f t="shared" si="454"/>
        <v>0</v>
      </c>
      <c r="CX163" s="94">
        <f t="shared" si="454"/>
        <v>0</v>
      </c>
      <c r="CY163" s="94">
        <f t="shared" si="454"/>
        <v>0</v>
      </c>
      <c r="CZ163" s="94">
        <f t="shared" si="454"/>
        <v>0</v>
      </c>
      <c r="DA163" s="94">
        <f t="shared" si="454"/>
        <v>0</v>
      </c>
      <c r="DB163" s="94">
        <f t="shared" si="454"/>
        <v>0</v>
      </c>
      <c r="DC163" s="94">
        <f t="shared" si="454"/>
        <v>0</v>
      </c>
      <c r="DD163" s="94">
        <f t="shared" si="454"/>
        <v>0</v>
      </c>
      <c r="DE163" s="28">
        <f t="shared" si="454"/>
        <v>0</v>
      </c>
      <c r="DF163" s="90">
        <f t="shared" ref="DF163:DQ163" si="455">+DF146+DF151+DF152</f>
        <v>0</v>
      </c>
      <c r="DG163" s="94">
        <f t="shared" si="455"/>
        <v>0</v>
      </c>
      <c r="DH163" s="94">
        <f t="shared" si="455"/>
        <v>0</v>
      </c>
      <c r="DI163" s="94">
        <f t="shared" si="455"/>
        <v>0</v>
      </c>
      <c r="DJ163" s="94">
        <f t="shared" si="455"/>
        <v>0</v>
      </c>
      <c r="DK163" s="94">
        <f t="shared" si="455"/>
        <v>0</v>
      </c>
      <c r="DL163" s="94">
        <f t="shared" si="455"/>
        <v>0</v>
      </c>
      <c r="DM163" s="94">
        <f t="shared" si="455"/>
        <v>0</v>
      </c>
      <c r="DN163" s="94">
        <f t="shared" si="455"/>
        <v>0</v>
      </c>
      <c r="DO163" s="94">
        <f t="shared" si="455"/>
        <v>0</v>
      </c>
      <c r="DP163" s="94">
        <f t="shared" si="455"/>
        <v>0</v>
      </c>
      <c r="DQ163" s="28">
        <f t="shared" si="455"/>
        <v>0</v>
      </c>
      <c r="DR163" s="90">
        <f t="shared" ref="DR163:EC163" si="456">+DR146+DR151+DR152</f>
        <v>0</v>
      </c>
      <c r="DS163" s="94">
        <f t="shared" si="456"/>
        <v>0</v>
      </c>
      <c r="DT163" s="94">
        <f t="shared" si="456"/>
        <v>0</v>
      </c>
      <c r="DU163" s="94">
        <f t="shared" si="456"/>
        <v>0</v>
      </c>
      <c r="DV163" s="94">
        <f t="shared" si="456"/>
        <v>0</v>
      </c>
      <c r="DW163" s="94">
        <f t="shared" si="456"/>
        <v>0</v>
      </c>
      <c r="DX163" s="94">
        <f t="shared" si="456"/>
        <v>0</v>
      </c>
      <c r="DY163" s="94">
        <f t="shared" si="456"/>
        <v>0</v>
      </c>
      <c r="DZ163" s="94">
        <f t="shared" si="456"/>
        <v>0</v>
      </c>
      <c r="EA163" s="94">
        <f t="shared" si="456"/>
        <v>0</v>
      </c>
      <c r="EB163" s="94">
        <f t="shared" si="456"/>
        <v>0</v>
      </c>
      <c r="EC163" s="28">
        <f t="shared" si="456"/>
        <v>0</v>
      </c>
      <c r="ED163" s="28">
        <f>+ED146+ED151+ED152</f>
        <v>178238.57070749998</v>
      </c>
      <c r="EE163" s="32"/>
    </row>
    <row r="164" spans="1:135">
      <c r="A164" s="964" t="s">
        <v>4047</v>
      </c>
      <c r="B164" s="279"/>
      <c r="N164" s="95">
        <f>+N130+N132+N153</f>
        <v>0</v>
      </c>
      <c r="O164" s="95">
        <f t="shared" ref="O164:BZ164" si="457">+O130+O132+O153</f>
        <v>0</v>
      </c>
      <c r="P164" s="95">
        <f t="shared" si="457"/>
        <v>0</v>
      </c>
      <c r="Q164" s="95">
        <f t="shared" si="457"/>
        <v>0</v>
      </c>
      <c r="R164" s="95">
        <f t="shared" si="457"/>
        <v>0</v>
      </c>
      <c r="S164" s="95">
        <f t="shared" si="457"/>
        <v>0</v>
      </c>
      <c r="T164" s="95">
        <f t="shared" si="457"/>
        <v>0</v>
      </c>
      <c r="U164" s="95">
        <f t="shared" si="457"/>
        <v>0</v>
      </c>
      <c r="V164" s="95">
        <f t="shared" si="457"/>
        <v>0</v>
      </c>
      <c r="W164" s="95">
        <f t="shared" si="457"/>
        <v>0</v>
      </c>
      <c r="X164" s="95">
        <f t="shared" si="457"/>
        <v>0</v>
      </c>
      <c r="Y164" s="95">
        <f t="shared" si="457"/>
        <v>0</v>
      </c>
      <c r="Z164" s="47">
        <f t="shared" si="457"/>
        <v>0</v>
      </c>
      <c r="AA164" s="95">
        <f t="shared" si="457"/>
        <v>0</v>
      </c>
      <c r="AB164" s="95">
        <f t="shared" si="457"/>
        <v>0</v>
      </c>
      <c r="AC164" s="95">
        <f t="shared" si="457"/>
        <v>0</v>
      </c>
      <c r="AD164" s="95">
        <f t="shared" si="457"/>
        <v>0</v>
      </c>
      <c r="AE164" s="95">
        <f t="shared" si="457"/>
        <v>0</v>
      </c>
      <c r="AF164" s="95">
        <f t="shared" si="457"/>
        <v>0</v>
      </c>
      <c r="AG164" s="95">
        <f t="shared" si="457"/>
        <v>0</v>
      </c>
      <c r="AH164" s="95">
        <f t="shared" si="457"/>
        <v>0</v>
      </c>
      <c r="AI164" s="95">
        <f t="shared" si="457"/>
        <v>0</v>
      </c>
      <c r="AJ164" s="95">
        <f t="shared" si="457"/>
        <v>0</v>
      </c>
      <c r="AK164" s="29">
        <f t="shared" si="457"/>
        <v>0</v>
      </c>
      <c r="AL164" s="95">
        <f t="shared" si="457"/>
        <v>0</v>
      </c>
      <c r="AM164" s="95">
        <f t="shared" si="457"/>
        <v>0</v>
      </c>
      <c r="AN164" s="95">
        <f t="shared" si="457"/>
        <v>0</v>
      </c>
      <c r="AO164" s="95">
        <f t="shared" si="457"/>
        <v>0</v>
      </c>
      <c r="AP164" s="95">
        <f t="shared" si="457"/>
        <v>0</v>
      </c>
      <c r="AQ164" s="95">
        <f t="shared" si="457"/>
        <v>0</v>
      </c>
      <c r="AR164" s="95">
        <f t="shared" si="457"/>
        <v>0</v>
      </c>
      <c r="AS164" s="95">
        <f t="shared" si="457"/>
        <v>0</v>
      </c>
      <c r="AT164" s="95">
        <f t="shared" si="457"/>
        <v>0</v>
      </c>
      <c r="AU164" s="95">
        <f t="shared" si="457"/>
        <v>0</v>
      </c>
      <c r="AV164" s="95">
        <f t="shared" si="457"/>
        <v>0</v>
      </c>
      <c r="AW164" s="95">
        <f t="shared" si="457"/>
        <v>0</v>
      </c>
      <c r="AX164" s="47">
        <f t="shared" si="457"/>
        <v>0</v>
      </c>
      <c r="AY164" s="95">
        <f t="shared" si="457"/>
        <v>0</v>
      </c>
      <c r="AZ164" s="95">
        <f t="shared" si="457"/>
        <v>0</v>
      </c>
      <c r="BA164" s="95">
        <f t="shared" si="457"/>
        <v>0</v>
      </c>
      <c r="BB164" s="95">
        <f t="shared" si="457"/>
        <v>0</v>
      </c>
      <c r="BC164" s="95">
        <f t="shared" si="457"/>
        <v>0</v>
      </c>
      <c r="BD164" s="95">
        <f t="shared" si="457"/>
        <v>0</v>
      </c>
      <c r="BE164" s="95">
        <f t="shared" si="457"/>
        <v>0</v>
      </c>
      <c r="BF164" s="95">
        <f t="shared" si="457"/>
        <v>410.04599999999999</v>
      </c>
      <c r="BG164" s="95">
        <f t="shared" si="457"/>
        <v>0</v>
      </c>
      <c r="BH164" s="95">
        <f t="shared" si="457"/>
        <v>0</v>
      </c>
      <c r="BI164" s="95">
        <f t="shared" si="457"/>
        <v>0</v>
      </c>
      <c r="BJ164" s="47">
        <f t="shared" si="457"/>
        <v>0</v>
      </c>
      <c r="BK164" s="95">
        <f t="shared" si="457"/>
        <v>0</v>
      </c>
      <c r="BL164" s="95">
        <f t="shared" si="457"/>
        <v>0</v>
      </c>
      <c r="BM164" s="95">
        <f t="shared" si="457"/>
        <v>0</v>
      </c>
      <c r="BN164" s="95">
        <f t="shared" si="457"/>
        <v>0</v>
      </c>
      <c r="BO164" s="95">
        <f t="shared" si="457"/>
        <v>0</v>
      </c>
      <c r="BP164" s="95">
        <f t="shared" si="457"/>
        <v>0</v>
      </c>
      <c r="BQ164" s="95">
        <f t="shared" si="457"/>
        <v>0</v>
      </c>
      <c r="BR164" s="95">
        <f t="shared" si="457"/>
        <v>0</v>
      </c>
      <c r="BS164" s="95">
        <f t="shared" si="457"/>
        <v>0</v>
      </c>
      <c r="BT164" s="95">
        <f t="shared" si="457"/>
        <v>0</v>
      </c>
      <c r="BU164" s="29">
        <f t="shared" si="457"/>
        <v>0</v>
      </c>
      <c r="BV164" s="47">
        <f t="shared" si="457"/>
        <v>0</v>
      </c>
      <c r="BW164" s="95">
        <f t="shared" si="457"/>
        <v>0</v>
      </c>
      <c r="BX164" s="95">
        <f t="shared" si="457"/>
        <v>0</v>
      </c>
      <c r="BY164" s="95">
        <f t="shared" si="457"/>
        <v>0</v>
      </c>
      <c r="BZ164" s="95">
        <f t="shared" si="457"/>
        <v>0</v>
      </c>
      <c r="CA164" s="95">
        <f t="shared" ref="CA164:ED164" si="458">+CA130+CA132+CA153</f>
        <v>0</v>
      </c>
      <c r="CB164" s="95">
        <f t="shared" si="458"/>
        <v>0</v>
      </c>
      <c r="CC164" s="95">
        <f t="shared" si="458"/>
        <v>0</v>
      </c>
      <c r="CD164" s="95">
        <f t="shared" si="458"/>
        <v>0</v>
      </c>
      <c r="CE164" s="95">
        <f t="shared" si="458"/>
        <v>0</v>
      </c>
      <c r="CF164" s="95">
        <f t="shared" si="458"/>
        <v>0</v>
      </c>
      <c r="CG164" s="95">
        <f t="shared" si="458"/>
        <v>0</v>
      </c>
      <c r="CH164" s="90">
        <f t="shared" si="458"/>
        <v>560.56899999999996</v>
      </c>
      <c r="CI164" s="94">
        <f t="shared" si="458"/>
        <v>0</v>
      </c>
      <c r="CJ164" s="94">
        <f t="shared" si="458"/>
        <v>0</v>
      </c>
      <c r="CK164" s="94">
        <f t="shared" si="458"/>
        <v>0</v>
      </c>
      <c r="CL164" s="94">
        <f t="shared" si="458"/>
        <v>0</v>
      </c>
      <c r="CM164" s="94">
        <f t="shared" si="458"/>
        <v>0</v>
      </c>
      <c r="CN164" s="94">
        <f t="shared" si="458"/>
        <v>1768.894</v>
      </c>
      <c r="CO164" s="94">
        <f t="shared" si="458"/>
        <v>0</v>
      </c>
      <c r="CP164" s="94">
        <f t="shared" si="458"/>
        <v>0</v>
      </c>
      <c r="CQ164" s="94">
        <f t="shared" si="458"/>
        <v>0</v>
      </c>
      <c r="CR164" s="94">
        <f t="shared" si="458"/>
        <v>0</v>
      </c>
      <c r="CS164" s="28">
        <f t="shared" si="458"/>
        <v>0</v>
      </c>
      <c r="CT164" s="90">
        <f t="shared" si="458"/>
        <v>0</v>
      </c>
      <c r="CU164" s="94">
        <f t="shared" si="458"/>
        <v>0</v>
      </c>
      <c r="CV164" s="94">
        <f t="shared" si="458"/>
        <v>0</v>
      </c>
      <c r="CW164" s="94">
        <f t="shared" si="458"/>
        <v>0</v>
      </c>
      <c r="CX164" s="94">
        <f t="shared" si="458"/>
        <v>0</v>
      </c>
      <c r="CY164" s="94">
        <f t="shared" si="458"/>
        <v>0</v>
      </c>
      <c r="CZ164" s="94">
        <f t="shared" si="458"/>
        <v>0</v>
      </c>
      <c r="DA164" s="94">
        <f t="shared" si="458"/>
        <v>0</v>
      </c>
      <c r="DB164" s="94">
        <f t="shared" si="458"/>
        <v>0</v>
      </c>
      <c r="DC164" s="94">
        <f t="shared" si="458"/>
        <v>0</v>
      </c>
      <c r="DD164" s="94">
        <f t="shared" si="458"/>
        <v>0</v>
      </c>
      <c r="DE164" s="28">
        <f t="shared" si="458"/>
        <v>0</v>
      </c>
      <c r="DF164" s="90">
        <f t="shared" ref="DF164:DQ164" si="459">+DF130+DF132+DF153</f>
        <v>0</v>
      </c>
      <c r="DG164" s="94">
        <f t="shared" si="459"/>
        <v>0</v>
      </c>
      <c r="DH164" s="94">
        <f t="shared" si="459"/>
        <v>0</v>
      </c>
      <c r="DI164" s="94">
        <f t="shared" si="459"/>
        <v>0</v>
      </c>
      <c r="DJ164" s="94">
        <f t="shared" si="459"/>
        <v>0</v>
      </c>
      <c r="DK164" s="94">
        <f t="shared" si="459"/>
        <v>0</v>
      </c>
      <c r="DL164" s="94">
        <f t="shared" si="459"/>
        <v>0</v>
      </c>
      <c r="DM164" s="94">
        <f t="shared" si="459"/>
        <v>0</v>
      </c>
      <c r="DN164" s="94">
        <f t="shared" si="459"/>
        <v>0</v>
      </c>
      <c r="DO164" s="94">
        <f t="shared" si="459"/>
        <v>0</v>
      </c>
      <c r="DP164" s="94">
        <f t="shared" si="459"/>
        <v>0</v>
      </c>
      <c r="DQ164" s="28">
        <f t="shared" si="459"/>
        <v>0</v>
      </c>
      <c r="DR164" s="90">
        <f t="shared" ref="DR164:EC164" si="460">+DR130+DR132+DR153</f>
        <v>0</v>
      </c>
      <c r="DS164" s="94">
        <f t="shared" si="460"/>
        <v>0</v>
      </c>
      <c r="DT164" s="94">
        <f t="shared" si="460"/>
        <v>0</v>
      </c>
      <c r="DU164" s="94">
        <f t="shared" si="460"/>
        <v>0</v>
      </c>
      <c r="DV164" s="94">
        <f t="shared" si="460"/>
        <v>0</v>
      </c>
      <c r="DW164" s="94">
        <f t="shared" si="460"/>
        <v>0</v>
      </c>
      <c r="DX164" s="94">
        <f t="shared" si="460"/>
        <v>0</v>
      </c>
      <c r="DY164" s="94">
        <f t="shared" si="460"/>
        <v>0</v>
      </c>
      <c r="DZ164" s="94">
        <f t="shared" si="460"/>
        <v>0</v>
      </c>
      <c r="EA164" s="94">
        <f t="shared" si="460"/>
        <v>0</v>
      </c>
      <c r="EB164" s="94">
        <f t="shared" si="460"/>
        <v>0</v>
      </c>
      <c r="EC164" s="28">
        <f t="shared" si="460"/>
        <v>0</v>
      </c>
      <c r="ED164" s="29">
        <f t="shared" si="458"/>
        <v>2739.509</v>
      </c>
      <c r="EE164" s="32"/>
    </row>
    <row r="165" spans="1:135">
      <c r="A165" s="74" t="s">
        <v>1058</v>
      </c>
      <c r="B165" s="67" t="s">
        <v>1572</v>
      </c>
      <c r="C165" s="108"/>
      <c r="D165" s="108"/>
      <c r="E165" s="108"/>
      <c r="F165" s="108"/>
      <c r="G165" s="108"/>
      <c r="H165" s="108"/>
      <c r="I165" s="108"/>
      <c r="J165" s="108"/>
      <c r="K165" s="108"/>
      <c r="L165" s="108"/>
      <c r="M165" s="108"/>
      <c r="N165" s="313"/>
      <c r="O165" s="314"/>
      <c r="P165" s="314"/>
      <c r="Q165" s="314"/>
      <c r="R165" s="314"/>
      <c r="S165" s="314"/>
      <c r="T165" s="314"/>
      <c r="U165" s="314"/>
      <c r="V165" s="314"/>
      <c r="W165" s="314"/>
      <c r="X165" s="314"/>
      <c r="Y165" s="315"/>
      <c r="Z165" s="306"/>
      <c r="AA165" s="307"/>
      <c r="AB165" s="307"/>
      <c r="AC165" s="307"/>
      <c r="AD165" s="307"/>
      <c r="AE165" s="307"/>
      <c r="AF165" s="307"/>
      <c r="AG165" s="307"/>
      <c r="AH165" s="307"/>
      <c r="AI165" s="307"/>
      <c r="AJ165" s="307"/>
      <c r="AK165" s="308"/>
      <c r="AL165" s="306"/>
      <c r="AM165" s="307"/>
      <c r="AN165" s="307"/>
      <c r="AO165" s="307"/>
      <c r="AP165" s="307"/>
      <c r="AQ165" s="307"/>
      <c r="AR165" s="307"/>
      <c r="AS165" s="307"/>
      <c r="AT165" s="307"/>
      <c r="AU165" s="307"/>
      <c r="AV165" s="307"/>
      <c r="AW165" s="315"/>
      <c r="AX165" s="292"/>
      <c r="AY165" s="292"/>
      <c r="AZ165" s="292"/>
      <c r="BA165" s="292"/>
      <c r="BB165" s="292"/>
      <c r="BC165" s="292"/>
      <c r="BD165" s="292"/>
      <c r="BE165" s="292"/>
      <c r="BF165" s="292"/>
      <c r="BG165" s="292"/>
      <c r="BH165" s="292"/>
      <c r="BI165" s="292"/>
      <c r="BJ165" s="410"/>
      <c r="BK165" s="292"/>
      <c r="BL165" s="292"/>
      <c r="BM165" s="292"/>
      <c r="BN165" s="292"/>
      <c r="BO165" s="292"/>
      <c r="BP165" s="292"/>
      <c r="BQ165" s="292"/>
      <c r="BR165" s="292"/>
      <c r="BS165" s="292"/>
      <c r="BT165" s="292"/>
      <c r="BU165" s="293"/>
      <c r="BV165" s="410"/>
      <c r="BW165" s="292"/>
      <c r="BX165" s="292"/>
      <c r="BY165" s="292"/>
      <c r="BZ165" s="292"/>
      <c r="CA165" s="292"/>
      <c r="CB165" s="292"/>
      <c r="CC165" s="292"/>
      <c r="CD165" s="292"/>
      <c r="CE165" s="292"/>
      <c r="CF165" s="292"/>
      <c r="CG165" s="292"/>
      <c r="CH165" s="313"/>
      <c r="CI165" s="314"/>
      <c r="CJ165" s="314"/>
      <c r="CK165" s="314"/>
      <c r="CL165" s="314"/>
      <c r="CM165" s="314"/>
      <c r="CN165" s="314"/>
      <c r="CO165" s="314"/>
      <c r="CP165" s="314"/>
      <c r="CQ165" s="314"/>
      <c r="CR165" s="314"/>
      <c r="CS165" s="315"/>
      <c r="CT165" s="313"/>
      <c r="CU165" s="314"/>
      <c r="CV165" s="314"/>
      <c r="CW165" s="314"/>
      <c r="CX165" s="314"/>
      <c r="CY165" s="314"/>
      <c r="CZ165" s="314"/>
      <c r="DA165" s="314"/>
      <c r="DB165" s="314"/>
      <c r="DC165" s="314"/>
      <c r="DD165" s="314"/>
      <c r="DE165" s="315"/>
      <c r="DF165" s="313"/>
      <c r="DG165" s="314"/>
      <c r="DH165" s="314"/>
      <c r="DI165" s="314"/>
      <c r="DJ165" s="314"/>
      <c r="DK165" s="314"/>
      <c r="DL165" s="314"/>
      <c r="DM165" s="314"/>
      <c r="DN165" s="314"/>
      <c r="DO165" s="314"/>
      <c r="DP165" s="314"/>
      <c r="DQ165" s="315"/>
      <c r="DR165" s="313"/>
      <c r="DS165" s="314"/>
      <c r="DT165" s="314"/>
      <c r="DU165" s="314"/>
      <c r="DV165" s="314"/>
      <c r="DW165" s="314"/>
      <c r="DX165" s="314"/>
      <c r="DY165" s="314"/>
      <c r="DZ165" s="314"/>
      <c r="EA165" s="314"/>
      <c r="EB165" s="314"/>
      <c r="EC165" s="315"/>
      <c r="ED165" s="308"/>
      <c r="EE165" s="73"/>
    </row>
    <row r="166" spans="1:135">
      <c r="A166" s="74" t="s">
        <v>686</v>
      </c>
      <c r="B166" s="278"/>
      <c r="N166" s="188">
        <f t="shared" ref="N166:N171" si="461">N159/1000</f>
        <v>0</v>
      </c>
      <c r="O166" s="188">
        <f t="shared" ref="O166:AW166" si="462">N166+O159/1000</f>
        <v>0</v>
      </c>
      <c r="P166" s="188">
        <f t="shared" si="462"/>
        <v>0</v>
      </c>
      <c r="Q166" s="188">
        <f t="shared" si="462"/>
        <v>0</v>
      </c>
      <c r="R166" s="188">
        <f t="shared" si="462"/>
        <v>0</v>
      </c>
      <c r="S166" s="188">
        <f t="shared" si="462"/>
        <v>0</v>
      </c>
      <c r="T166" s="188">
        <f t="shared" si="462"/>
        <v>0</v>
      </c>
      <c r="U166" s="188">
        <f t="shared" si="462"/>
        <v>0</v>
      </c>
      <c r="V166" s="188">
        <f t="shared" si="462"/>
        <v>0</v>
      </c>
      <c r="W166" s="188">
        <f t="shared" si="462"/>
        <v>0</v>
      </c>
      <c r="X166" s="188">
        <f t="shared" si="462"/>
        <v>3.1204547000000002</v>
      </c>
      <c r="Y166" s="188">
        <f t="shared" si="462"/>
        <v>3.8846847000000002</v>
      </c>
      <c r="Z166" s="187">
        <f t="shared" si="462"/>
        <v>4.9520947</v>
      </c>
      <c r="AA166" s="188">
        <f t="shared" si="462"/>
        <v>5.3784426999999999</v>
      </c>
      <c r="AB166" s="188">
        <f t="shared" si="462"/>
        <v>5.8629329500000003</v>
      </c>
      <c r="AC166" s="188">
        <f t="shared" si="462"/>
        <v>5.8629329500000003</v>
      </c>
      <c r="AD166" s="188">
        <f t="shared" si="462"/>
        <v>9.0013529500000011</v>
      </c>
      <c r="AE166" s="188">
        <f t="shared" si="462"/>
        <v>9.4049917957400009</v>
      </c>
      <c r="AF166" s="188">
        <f t="shared" si="462"/>
        <v>9.4049917957400009</v>
      </c>
      <c r="AG166" s="188">
        <f t="shared" si="462"/>
        <v>9.4049917957400009</v>
      </c>
      <c r="AH166" s="188">
        <f t="shared" si="462"/>
        <v>9.4049917957400009</v>
      </c>
      <c r="AI166" s="188">
        <f t="shared" si="462"/>
        <v>9.4049917957400009</v>
      </c>
      <c r="AJ166" s="188">
        <f t="shared" si="462"/>
        <v>9.4049917957400009</v>
      </c>
      <c r="AK166" s="309">
        <f t="shared" si="462"/>
        <v>9.6605517957400018</v>
      </c>
      <c r="AL166" s="187">
        <f t="shared" si="462"/>
        <v>9.6605517957400018</v>
      </c>
      <c r="AM166" s="188">
        <f t="shared" si="462"/>
        <v>9.6605517957400018</v>
      </c>
      <c r="AN166" s="188">
        <f t="shared" si="462"/>
        <v>9.8673867957400017</v>
      </c>
      <c r="AO166" s="188">
        <f t="shared" si="462"/>
        <v>9.8673867957400017</v>
      </c>
      <c r="AP166" s="188">
        <f t="shared" si="462"/>
        <v>10.654624545740001</v>
      </c>
      <c r="AQ166" s="188">
        <f t="shared" si="462"/>
        <v>12.365976545740001</v>
      </c>
      <c r="AR166" s="188">
        <f t="shared" si="462"/>
        <v>17.015332545740002</v>
      </c>
      <c r="AS166" s="188">
        <f t="shared" si="462"/>
        <v>17.015332545740002</v>
      </c>
      <c r="AT166" s="188">
        <f t="shared" si="462"/>
        <v>17.015332545740002</v>
      </c>
      <c r="AU166" s="188">
        <f t="shared" si="462"/>
        <v>17.328129545740001</v>
      </c>
      <c r="AV166" s="188">
        <f t="shared" si="462"/>
        <v>19.273726545740001</v>
      </c>
      <c r="AW166" s="310">
        <f t="shared" si="462"/>
        <v>20.267886545740001</v>
      </c>
      <c r="AX166" s="199">
        <f t="shared" ref="AX166:BH166" si="463">AW166+AX159/1000</f>
        <v>20.267886545740001</v>
      </c>
      <c r="AY166" s="199">
        <f t="shared" si="463"/>
        <v>20.267886545740001</v>
      </c>
      <c r="AZ166" s="199">
        <f t="shared" si="463"/>
        <v>20.682734045740002</v>
      </c>
      <c r="BA166" s="199">
        <f t="shared" si="463"/>
        <v>20.935203045740003</v>
      </c>
      <c r="BB166" s="199">
        <f t="shared" si="463"/>
        <v>21.377788045740004</v>
      </c>
      <c r="BC166" s="199">
        <f t="shared" si="463"/>
        <v>21.377788045740004</v>
      </c>
      <c r="BD166" s="199">
        <f t="shared" si="463"/>
        <v>21.900108045740005</v>
      </c>
      <c r="BE166" s="199">
        <f t="shared" si="463"/>
        <v>22.976879045740006</v>
      </c>
      <c r="BF166" s="199">
        <f t="shared" si="463"/>
        <v>24.101290045740004</v>
      </c>
      <c r="BG166" s="199">
        <f t="shared" si="463"/>
        <v>24.101290045740004</v>
      </c>
      <c r="BH166" s="199">
        <f t="shared" si="463"/>
        <v>24.145963795740006</v>
      </c>
      <c r="BI166" s="199">
        <f t="shared" ref="BI166:BU166" si="464">BH166+BI159/1000</f>
        <v>25.270102795740005</v>
      </c>
      <c r="BJ166" s="200">
        <f t="shared" si="464"/>
        <v>25.851773795740005</v>
      </c>
      <c r="BK166" s="199">
        <f t="shared" si="464"/>
        <v>26.116778795740004</v>
      </c>
      <c r="BL166" s="199">
        <f t="shared" si="464"/>
        <v>26.116778795740004</v>
      </c>
      <c r="BM166" s="199">
        <f t="shared" si="464"/>
        <v>27.025022795740004</v>
      </c>
      <c r="BN166" s="199">
        <f t="shared" si="464"/>
        <v>27.025022795740004</v>
      </c>
      <c r="BO166" s="199">
        <f t="shared" si="464"/>
        <v>27.634243795740005</v>
      </c>
      <c r="BP166" s="199">
        <f t="shared" si="464"/>
        <v>27.634243795740005</v>
      </c>
      <c r="BQ166" s="199">
        <f t="shared" si="464"/>
        <v>27.853683795740004</v>
      </c>
      <c r="BR166" s="199">
        <f t="shared" si="464"/>
        <v>28.098483795740005</v>
      </c>
      <c r="BS166" s="199">
        <f t="shared" si="464"/>
        <v>28.393900506740007</v>
      </c>
      <c r="BT166" s="199">
        <f t="shared" si="464"/>
        <v>29.804160506740008</v>
      </c>
      <c r="BU166" s="310">
        <f t="shared" si="464"/>
        <v>31.03553050674001</v>
      </c>
      <c r="BV166" s="200">
        <f t="shared" ref="BV166:BV171" si="465">BU166+BV159/1000</f>
        <v>31.216510506740011</v>
      </c>
      <c r="BW166" s="199">
        <f t="shared" ref="BW166:BW171" si="466">BV166+BW159/1000</f>
        <v>31.216510506740011</v>
      </c>
      <c r="BX166" s="199">
        <f t="shared" ref="BX166:BX171" si="467">BW166+BX159/1000</f>
        <v>35.535142506740016</v>
      </c>
      <c r="BY166" s="199">
        <f t="shared" ref="BY166:BY171" si="468">BX166+BY159/1000</f>
        <v>36.596422506740012</v>
      </c>
      <c r="BZ166" s="199">
        <f t="shared" ref="BZ166:BZ171" si="469">BY166+BZ159/1000</f>
        <v>37.011069506740014</v>
      </c>
      <c r="CA166" s="199">
        <f t="shared" ref="CA166:CA171" si="470">BZ166+CA159/1000</f>
        <v>37.137204506740012</v>
      </c>
      <c r="CB166" s="199">
        <f t="shared" ref="CB166:CB171" si="471">CA166+CB159/1000</f>
        <v>39.070637506740013</v>
      </c>
      <c r="CC166" s="199">
        <f t="shared" ref="CC166:CC171" si="472">CB166+CC159/1000</f>
        <v>39.280900506740011</v>
      </c>
      <c r="CD166" s="199">
        <f t="shared" ref="CD166:CD171" si="473">CC166+CD159/1000</f>
        <v>39.437850506740013</v>
      </c>
      <c r="CE166" s="199">
        <f t="shared" ref="CE166:CE171" si="474">CD166+CE159/1000</f>
        <v>39.467787476740014</v>
      </c>
      <c r="CF166" s="199">
        <f t="shared" ref="CF166:CF171" si="475">CE166+CF159/1000</f>
        <v>44.198532476740013</v>
      </c>
      <c r="CG166" s="199">
        <f t="shared" ref="CG166:CG171" si="476">CF166+CG159/1000</f>
        <v>44.200865226740014</v>
      </c>
      <c r="CH166" s="200">
        <f t="shared" ref="CH166:CH171" si="477">CG166+CH159/1000</f>
        <v>48.236266226740014</v>
      </c>
      <c r="CI166" s="199">
        <f t="shared" ref="CI166:CI171" si="478">CH166+CI159/1000</f>
        <v>48.236266226740014</v>
      </c>
      <c r="CJ166" s="199">
        <f t="shared" ref="CJ166:CJ171" si="479">CI166+CJ159/1000</f>
        <v>48.448774226740014</v>
      </c>
      <c r="CK166" s="199">
        <f t="shared" ref="CK166:CK171" si="480">CJ166+CK159/1000</f>
        <v>48.448774226740014</v>
      </c>
      <c r="CL166" s="199">
        <f t="shared" ref="CL166:CL171" si="481">CK166+CL159/1000</f>
        <v>48.475883726740015</v>
      </c>
      <c r="CM166" s="199">
        <f t="shared" ref="CM166:CM171" si="482">CL166+CM159/1000</f>
        <v>50.106880726740016</v>
      </c>
      <c r="CN166" s="199">
        <f t="shared" ref="CN166:CN171" si="483">CM166+CN159/1000</f>
        <v>50.541885726740013</v>
      </c>
      <c r="CO166" s="199">
        <f t="shared" ref="CO166:CO171" si="484">CN166+CO159/1000</f>
        <v>53.372232726740016</v>
      </c>
      <c r="CP166" s="199">
        <f t="shared" ref="CP166:CP171" si="485">CO166+CP159/1000</f>
        <v>53.372232726740016</v>
      </c>
      <c r="CQ166" s="199">
        <f t="shared" ref="CQ166:CQ171" si="486">CP166+CQ159/1000</f>
        <v>55.387350726740017</v>
      </c>
      <c r="CR166" s="199">
        <f t="shared" ref="CR166:CR171" si="487">CQ166+CR159/1000</f>
        <v>56.29641372674002</v>
      </c>
      <c r="CS166" s="310">
        <f t="shared" ref="CS166:CS171" si="488">CR166+CS159/1000</f>
        <v>56.318670726740024</v>
      </c>
      <c r="CT166" s="200">
        <f t="shared" ref="CT166:CT171" si="489">CS166+CT159/1000</f>
        <v>58.395514726740025</v>
      </c>
      <c r="CU166" s="199">
        <f t="shared" ref="CU166:CU171" si="490">CT166+CU159/1000</f>
        <v>58.395514726740025</v>
      </c>
      <c r="CV166" s="199">
        <f t="shared" ref="CV166:CV171" si="491">CU166+CV159/1000</f>
        <v>58.395514726740025</v>
      </c>
      <c r="CW166" s="199">
        <f t="shared" ref="CW166:CW171" si="492">CV166+CW159/1000</f>
        <v>58.395514726740025</v>
      </c>
      <c r="CX166" s="199">
        <f t="shared" ref="CX166:CX171" si="493">CW166+CX159/1000</f>
        <v>58.395514726740025</v>
      </c>
      <c r="CY166" s="199">
        <f t="shared" ref="CY166:CY171" si="494">CX166+CY159/1000</f>
        <v>58.395514726740025</v>
      </c>
      <c r="CZ166" s="199">
        <f t="shared" ref="CZ166:CZ171" si="495">CY166+CZ159/1000</f>
        <v>58.395514726740025</v>
      </c>
      <c r="DA166" s="199">
        <f t="shared" ref="DA166:DA171" si="496">CZ166+DA159/1000</f>
        <v>58.395514726740025</v>
      </c>
      <c r="DB166" s="199">
        <f t="shared" ref="DB166:DB171" si="497">DA166+DB159/1000</f>
        <v>58.395514726740025</v>
      </c>
      <c r="DC166" s="199">
        <f t="shared" ref="DC166:DC171" si="498">DB166+DC159/1000</f>
        <v>58.395514726740025</v>
      </c>
      <c r="DD166" s="199">
        <f t="shared" ref="DD166:DD171" si="499">DC166+DD159/1000</f>
        <v>58.395514726740025</v>
      </c>
      <c r="DE166" s="310">
        <f t="shared" ref="DE166:DE171" si="500">DD166+DE159/1000</f>
        <v>58.395514726740025</v>
      </c>
      <c r="DF166" s="200">
        <f t="shared" ref="DF166:DF171" si="501">DE166+DF159/1000</f>
        <v>58.395514726740025</v>
      </c>
      <c r="DG166" s="199">
        <f t="shared" ref="DG166:DG171" si="502">DF166+DG159/1000</f>
        <v>58.395514726740025</v>
      </c>
      <c r="DH166" s="199">
        <f t="shared" ref="DH166:DH171" si="503">DG166+DH159/1000</f>
        <v>58.395514726740025</v>
      </c>
      <c r="DI166" s="199">
        <f t="shared" ref="DI166:DI171" si="504">DH166+DI159/1000</f>
        <v>58.395514726740025</v>
      </c>
      <c r="DJ166" s="199">
        <f t="shared" ref="DJ166:DJ171" si="505">DI166+DJ159/1000</f>
        <v>58.395514726740025</v>
      </c>
      <c r="DK166" s="199">
        <f t="shared" ref="DK166:DK171" si="506">DJ166+DK159/1000</f>
        <v>58.395514726740025</v>
      </c>
      <c r="DL166" s="199">
        <f t="shared" ref="DL166:DL171" si="507">DK166+DL159/1000</f>
        <v>58.395514726740025</v>
      </c>
      <c r="DM166" s="199">
        <f t="shared" ref="DM166:DM171" si="508">DL166+DM159/1000</f>
        <v>58.395514726740025</v>
      </c>
      <c r="DN166" s="199">
        <f t="shared" ref="DN166:DN171" si="509">DM166+DN159/1000</f>
        <v>58.395514726740025</v>
      </c>
      <c r="DO166" s="199">
        <f t="shared" ref="DO166:DO171" si="510">DN166+DO159/1000</f>
        <v>58.395514726740025</v>
      </c>
      <c r="DP166" s="199">
        <f t="shared" ref="DP166:DP171" si="511">DO166+DP159/1000</f>
        <v>58.395514726740025</v>
      </c>
      <c r="DQ166" s="310">
        <f t="shared" ref="DQ166:DQ171" si="512">DP166+DQ159/1000</f>
        <v>58.395514726740025</v>
      </c>
      <c r="DR166" s="200">
        <f t="shared" ref="DR166:DR171" si="513">DQ166+DR159/1000</f>
        <v>58.395514726740025</v>
      </c>
      <c r="DS166" s="199">
        <f t="shared" ref="DS166:DS171" si="514">DR166+DS159/1000</f>
        <v>58.395514726740025</v>
      </c>
      <c r="DT166" s="199">
        <f t="shared" ref="DT166:DT171" si="515">DS166+DT159/1000</f>
        <v>58.395514726740025</v>
      </c>
      <c r="DU166" s="199">
        <f t="shared" ref="DU166:DU171" si="516">DT166+DU159/1000</f>
        <v>58.395514726740025</v>
      </c>
      <c r="DV166" s="199">
        <f t="shared" ref="DV166:DV171" si="517">DU166+DV159/1000</f>
        <v>58.395514726740025</v>
      </c>
      <c r="DW166" s="199">
        <f t="shared" ref="DW166:DW171" si="518">DV166+DW159/1000</f>
        <v>58.395514726740025</v>
      </c>
      <c r="DX166" s="199">
        <f t="shared" ref="DX166:DX171" si="519">DW166+DX159/1000</f>
        <v>58.395514726740025</v>
      </c>
      <c r="DY166" s="199">
        <f t="shared" ref="DY166:DY171" si="520">DX166+DY159/1000</f>
        <v>58.395514726740025</v>
      </c>
      <c r="DZ166" s="199">
        <f t="shared" ref="DZ166:DZ171" si="521">DY166+DZ159/1000</f>
        <v>58.395514726740025</v>
      </c>
      <c r="EA166" s="199">
        <f t="shared" ref="EA166:EA171" si="522">DZ166+EA159/1000</f>
        <v>58.395514726740025</v>
      </c>
      <c r="EB166" s="199">
        <f t="shared" ref="EB166:EB171" si="523">EA166+EB159/1000</f>
        <v>58.395514726740025</v>
      </c>
      <c r="EC166" s="310">
        <f t="shared" ref="EC166:EC171" si="524">EB166+EC159/1000</f>
        <v>58.395514726740025</v>
      </c>
      <c r="ED166" s="308"/>
      <c r="EE166" s="32"/>
    </row>
    <row r="167" spans="1:135">
      <c r="A167" s="21" t="s">
        <v>980</v>
      </c>
      <c r="B167" s="258"/>
      <c r="N167" s="199">
        <f t="shared" si="461"/>
        <v>0</v>
      </c>
      <c r="O167" s="199">
        <f t="shared" ref="O167:AC167" si="525">N167+O160/1000</f>
        <v>0</v>
      </c>
      <c r="P167" s="199">
        <f t="shared" si="525"/>
        <v>0</v>
      </c>
      <c r="Q167" s="199">
        <f t="shared" si="525"/>
        <v>0</v>
      </c>
      <c r="R167" s="199">
        <f t="shared" si="525"/>
        <v>0</v>
      </c>
      <c r="S167" s="199">
        <f t="shared" si="525"/>
        <v>0</v>
      </c>
      <c r="T167" s="199">
        <f t="shared" si="525"/>
        <v>0</v>
      </c>
      <c r="U167" s="199">
        <f t="shared" si="525"/>
        <v>0</v>
      </c>
      <c r="V167" s="199">
        <f t="shared" si="525"/>
        <v>0</v>
      </c>
      <c r="W167" s="199">
        <f t="shared" si="525"/>
        <v>0</v>
      </c>
      <c r="X167" s="199">
        <f t="shared" si="525"/>
        <v>5.0093350000000001</v>
      </c>
      <c r="Y167" s="199">
        <f t="shared" si="525"/>
        <v>41.855334999999997</v>
      </c>
      <c r="Z167" s="200">
        <f t="shared" si="525"/>
        <v>42.002863999999995</v>
      </c>
      <c r="AA167" s="199">
        <f t="shared" si="525"/>
        <v>52.742881999999994</v>
      </c>
      <c r="AB167" s="199">
        <f t="shared" si="525"/>
        <v>57.461463999999992</v>
      </c>
      <c r="AC167" s="199">
        <f t="shared" si="525"/>
        <v>58.027750999999995</v>
      </c>
      <c r="AD167" s="199">
        <f t="shared" ref="AD167:AW167" si="526">AC167+AD160/1000</f>
        <v>59.670056999999993</v>
      </c>
      <c r="AE167" s="199">
        <f t="shared" si="526"/>
        <v>71.275566999999995</v>
      </c>
      <c r="AF167" s="199">
        <f t="shared" si="526"/>
        <v>72.168194</v>
      </c>
      <c r="AG167" s="199">
        <f t="shared" si="526"/>
        <v>72.168194</v>
      </c>
      <c r="AH167" s="199">
        <f t="shared" si="526"/>
        <v>76.982976594999997</v>
      </c>
      <c r="AI167" s="199">
        <f t="shared" si="526"/>
        <v>82.477996594999993</v>
      </c>
      <c r="AJ167" s="199">
        <f t="shared" si="526"/>
        <v>84.985881594999995</v>
      </c>
      <c r="AK167" s="310">
        <f t="shared" si="526"/>
        <v>93.213566594999989</v>
      </c>
      <c r="AL167" s="200">
        <f t="shared" si="526"/>
        <v>100.01735839499999</v>
      </c>
      <c r="AM167" s="199">
        <f t="shared" si="526"/>
        <v>100.92659339499998</v>
      </c>
      <c r="AN167" s="199">
        <f t="shared" si="526"/>
        <v>120.13108569499998</v>
      </c>
      <c r="AO167" s="199">
        <f t="shared" si="526"/>
        <v>121.20199369499998</v>
      </c>
      <c r="AP167" s="199">
        <f t="shared" si="526"/>
        <v>121.20199369499998</v>
      </c>
      <c r="AQ167" s="199">
        <f t="shared" si="526"/>
        <v>123.01018869499998</v>
      </c>
      <c r="AR167" s="199">
        <f t="shared" si="526"/>
        <v>124.49875869499998</v>
      </c>
      <c r="AS167" s="199">
        <f t="shared" si="526"/>
        <v>128.53157469499999</v>
      </c>
      <c r="AT167" s="199">
        <f t="shared" si="526"/>
        <v>128.53157469499999</v>
      </c>
      <c r="AU167" s="199">
        <f t="shared" si="526"/>
        <v>129.377820695</v>
      </c>
      <c r="AV167" s="199">
        <f t="shared" si="526"/>
        <v>129.377820695</v>
      </c>
      <c r="AW167" s="310">
        <f t="shared" si="526"/>
        <v>129.377820695</v>
      </c>
      <c r="AX167" s="199">
        <f t="shared" ref="AX167:BH167" si="527">AW167+AX160/1000</f>
        <v>129.377820695</v>
      </c>
      <c r="AY167" s="199">
        <f t="shared" si="527"/>
        <v>130.28909569499999</v>
      </c>
      <c r="AZ167" s="199">
        <f t="shared" si="527"/>
        <v>130.72362869499997</v>
      </c>
      <c r="BA167" s="199">
        <f t="shared" si="527"/>
        <v>130.72362869499997</v>
      </c>
      <c r="BB167" s="199">
        <f t="shared" si="527"/>
        <v>133.83349569499998</v>
      </c>
      <c r="BC167" s="199">
        <f t="shared" si="527"/>
        <v>133.83349569499998</v>
      </c>
      <c r="BD167" s="199">
        <f t="shared" si="527"/>
        <v>137.12418222499997</v>
      </c>
      <c r="BE167" s="199">
        <f t="shared" si="527"/>
        <v>138.24926222499997</v>
      </c>
      <c r="BF167" s="199">
        <f t="shared" si="527"/>
        <v>140.55143622499997</v>
      </c>
      <c r="BG167" s="199">
        <f t="shared" si="527"/>
        <v>140.55143622499997</v>
      </c>
      <c r="BH167" s="199">
        <f t="shared" si="527"/>
        <v>140.55143622499997</v>
      </c>
      <c r="BI167" s="199">
        <f t="shared" ref="BI167:BU167" si="528">BH167+BI160/1000</f>
        <v>141.43081422499998</v>
      </c>
      <c r="BJ167" s="200">
        <f t="shared" si="528"/>
        <v>144.62868822499999</v>
      </c>
      <c r="BK167" s="199">
        <f t="shared" si="528"/>
        <v>144.62868822499999</v>
      </c>
      <c r="BL167" s="199">
        <f t="shared" si="528"/>
        <v>145.33165822499998</v>
      </c>
      <c r="BM167" s="199">
        <f t="shared" si="528"/>
        <v>145.59891822499998</v>
      </c>
      <c r="BN167" s="199">
        <f t="shared" si="528"/>
        <v>146.70708122499997</v>
      </c>
      <c r="BO167" s="199">
        <f t="shared" si="528"/>
        <v>150.02903122499995</v>
      </c>
      <c r="BP167" s="199">
        <f t="shared" si="528"/>
        <v>150.02903122499995</v>
      </c>
      <c r="BQ167" s="199">
        <f t="shared" si="528"/>
        <v>155.75237722499995</v>
      </c>
      <c r="BR167" s="199">
        <f t="shared" si="528"/>
        <v>155.75237722499995</v>
      </c>
      <c r="BS167" s="199">
        <f t="shared" si="528"/>
        <v>155.75237722499995</v>
      </c>
      <c r="BT167" s="199">
        <f t="shared" si="528"/>
        <v>155.75237722499995</v>
      </c>
      <c r="BU167" s="310">
        <f t="shared" si="528"/>
        <v>156.06828122499994</v>
      </c>
      <c r="BV167" s="200">
        <f t="shared" si="465"/>
        <v>156.06828122499994</v>
      </c>
      <c r="BW167" s="199">
        <f t="shared" si="466"/>
        <v>156.65881222499993</v>
      </c>
      <c r="BX167" s="199">
        <f t="shared" si="467"/>
        <v>163.67691522499993</v>
      </c>
      <c r="BY167" s="199">
        <f t="shared" si="468"/>
        <v>164.11124622499992</v>
      </c>
      <c r="BZ167" s="199">
        <f t="shared" si="469"/>
        <v>164.32639272499992</v>
      </c>
      <c r="CA167" s="199">
        <f t="shared" si="470"/>
        <v>164.82641191399992</v>
      </c>
      <c r="CB167" s="199">
        <f t="shared" si="471"/>
        <v>165.77201191399993</v>
      </c>
      <c r="CC167" s="199">
        <f t="shared" si="472"/>
        <v>169.67282191399994</v>
      </c>
      <c r="CD167" s="199">
        <f t="shared" si="473"/>
        <v>172.17897291399993</v>
      </c>
      <c r="CE167" s="199">
        <f t="shared" si="474"/>
        <v>206.24593453399993</v>
      </c>
      <c r="CF167" s="199">
        <f t="shared" si="475"/>
        <v>214.50490653399993</v>
      </c>
      <c r="CG167" s="199">
        <f t="shared" si="476"/>
        <v>240.54365553399992</v>
      </c>
      <c r="CH167" s="200">
        <f t="shared" si="477"/>
        <v>240.54365553399992</v>
      </c>
      <c r="CI167" s="199">
        <f t="shared" si="478"/>
        <v>240.94038368599993</v>
      </c>
      <c r="CJ167" s="199">
        <f t="shared" si="479"/>
        <v>253.94623468599994</v>
      </c>
      <c r="CK167" s="199">
        <f t="shared" si="480"/>
        <v>259.82145868599991</v>
      </c>
      <c r="CL167" s="199">
        <f t="shared" si="481"/>
        <v>270.40608568599993</v>
      </c>
      <c r="CM167" s="199">
        <f t="shared" si="482"/>
        <v>270.40608568599993</v>
      </c>
      <c r="CN167" s="199">
        <f t="shared" si="483"/>
        <v>339.70282768599992</v>
      </c>
      <c r="CO167" s="199">
        <f t="shared" si="484"/>
        <v>371.29694168599991</v>
      </c>
      <c r="CP167" s="199">
        <f t="shared" si="485"/>
        <v>384.75082168599994</v>
      </c>
      <c r="CQ167" s="199">
        <f t="shared" si="486"/>
        <v>477.82705708599997</v>
      </c>
      <c r="CR167" s="199">
        <f t="shared" si="487"/>
        <v>543.154538086</v>
      </c>
      <c r="CS167" s="310">
        <f t="shared" si="488"/>
        <v>730.24198108600012</v>
      </c>
      <c r="CT167" s="200">
        <f t="shared" si="489"/>
        <v>733.7864330860001</v>
      </c>
      <c r="CU167" s="199">
        <f t="shared" si="490"/>
        <v>733.7864330860001</v>
      </c>
      <c r="CV167" s="199">
        <f t="shared" si="491"/>
        <v>733.7864330860001</v>
      </c>
      <c r="CW167" s="199">
        <f t="shared" si="492"/>
        <v>733.7864330860001</v>
      </c>
      <c r="CX167" s="199">
        <f t="shared" si="493"/>
        <v>733.7864330860001</v>
      </c>
      <c r="CY167" s="199">
        <f t="shared" si="494"/>
        <v>733.7864330860001</v>
      </c>
      <c r="CZ167" s="199">
        <f t="shared" si="495"/>
        <v>733.7864330860001</v>
      </c>
      <c r="DA167" s="199">
        <f t="shared" si="496"/>
        <v>733.7864330860001</v>
      </c>
      <c r="DB167" s="199">
        <f t="shared" si="497"/>
        <v>733.7864330860001</v>
      </c>
      <c r="DC167" s="199">
        <f t="shared" si="498"/>
        <v>733.7864330860001</v>
      </c>
      <c r="DD167" s="199">
        <f t="shared" si="499"/>
        <v>733.7864330860001</v>
      </c>
      <c r="DE167" s="310">
        <f t="shared" si="500"/>
        <v>733.7864330860001</v>
      </c>
      <c r="DF167" s="200">
        <f t="shared" si="501"/>
        <v>733.7864330860001</v>
      </c>
      <c r="DG167" s="199">
        <f t="shared" si="502"/>
        <v>733.7864330860001</v>
      </c>
      <c r="DH167" s="199">
        <f t="shared" si="503"/>
        <v>733.7864330860001</v>
      </c>
      <c r="DI167" s="199">
        <f t="shared" si="504"/>
        <v>733.7864330860001</v>
      </c>
      <c r="DJ167" s="199">
        <f t="shared" si="505"/>
        <v>733.7864330860001</v>
      </c>
      <c r="DK167" s="199">
        <f t="shared" si="506"/>
        <v>733.7864330860001</v>
      </c>
      <c r="DL167" s="199">
        <f t="shared" si="507"/>
        <v>733.7864330860001</v>
      </c>
      <c r="DM167" s="199">
        <f t="shared" si="508"/>
        <v>733.7864330860001</v>
      </c>
      <c r="DN167" s="199">
        <f t="shared" si="509"/>
        <v>733.7864330860001</v>
      </c>
      <c r="DO167" s="199">
        <f t="shared" si="510"/>
        <v>733.7864330860001</v>
      </c>
      <c r="DP167" s="199">
        <f t="shared" si="511"/>
        <v>733.7864330860001</v>
      </c>
      <c r="DQ167" s="310">
        <f t="shared" si="512"/>
        <v>733.7864330860001</v>
      </c>
      <c r="DR167" s="200">
        <f t="shared" si="513"/>
        <v>733.7864330860001</v>
      </c>
      <c r="DS167" s="199">
        <f t="shared" si="514"/>
        <v>733.7864330860001</v>
      </c>
      <c r="DT167" s="199">
        <f t="shared" si="515"/>
        <v>733.7864330860001</v>
      </c>
      <c r="DU167" s="199">
        <f t="shared" si="516"/>
        <v>733.7864330860001</v>
      </c>
      <c r="DV167" s="199">
        <f t="shared" si="517"/>
        <v>733.7864330860001</v>
      </c>
      <c r="DW167" s="199">
        <f t="shared" si="518"/>
        <v>733.7864330860001</v>
      </c>
      <c r="DX167" s="199">
        <f t="shared" si="519"/>
        <v>733.7864330860001</v>
      </c>
      <c r="DY167" s="199">
        <f t="shared" si="520"/>
        <v>733.7864330860001</v>
      </c>
      <c r="DZ167" s="199">
        <f t="shared" si="521"/>
        <v>733.7864330860001</v>
      </c>
      <c r="EA167" s="199">
        <f t="shared" si="522"/>
        <v>733.7864330860001</v>
      </c>
      <c r="EB167" s="199">
        <f t="shared" si="523"/>
        <v>733.7864330860001</v>
      </c>
      <c r="EC167" s="310">
        <f t="shared" si="524"/>
        <v>733.7864330860001</v>
      </c>
      <c r="ED167" s="800"/>
    </row>
    <row r="168" spans="1:135">
      <c r="A168" s="19" t="s">
        <v>1051</v>
      </c>
      <c r="B168" s="258"/>
      <c r="N168" s="199">
        <f t="shared" si="461"/>
        <v>0</v>
      </c>
      <c r="O168" s="199">
        <f t="shared" ref="O168:AC168" si="529">N168+O161/1000</f>
        <v>0</v>
      </c>
      <c r="P168" s="199">
        <f t="shared" si="529"/>
        <v>0</v>
      </c>
      <c r="Q168" s="199">
        <f t="shared" si="529"/>
        <v>0</v>
      </c>
      <c r="R168" s="199">
        <f t="shared" si="529"/>
        <v>0</v>
      </c>
      <c r="S168" s="199">
        <f t="shared" si="529"/>
        <v>0</v>
      </c>
      <c r="T168" s="199">
        <f t="shared" si="529"/>
        <v>0</v>
      </c>
      <c r="U168" s="199">
        <f t="shared" si="529"/>
        <v>0</v>
      </c>
      <c r="V168" s="199">
        <f t="shared" si="529"/>
        <v>0</v>
      </c>
      <c r="W168" s="199">
        <f t="shared" si="529"/>
        <v>3.0234040000000002</v>
      </c>
      <c r="X168" s="199">
        <f t="shared" si="529"/>
        <v>8.5694630000000007</v>
      </c>
      <c r="Y168" s="199">
        <f t="shared" si="529"/>
        <v>9.2742930000000001</v>
      </c>
      <c r="Z168" s="200">
        <f t="shared" si="529"/>
        <v>10.711886</v>
      </c>
      <c r="AA168" s="199">
        <f t="shared" si="529"/>
        <v>13.876614999999999</v>
      </c>
      <c r="AB168" s="199">
        <f t="shared" si="529"/>
        <v>18.407959999999999</v>
      </c>
      <c r="AC168" s="199">
        <f t="shared" si="529"/>
        <v>18.407959999999999</v>
      </c>
      <c r="AD168" s="199">
        <f t="shared" ref="AD168:AW168" si="530">AC168+AD161/1000</f>
        <v>18.407959999999999</v>
      </c>
      <c r="AE168" s="199">
        <f t="shared" si="530"/>
        <v>18.407959999999999</v>
      </c>
      <c r="AF168" s="199">
        <f t="shared" si="530"/>
        <v>28.704450999999999</v>
      </c>
      <c r="AG168" s="199">
        <f t="shared" si="530"/>
        <v>28.704450999999999</v>
      </c>
      <c r="AH168" s="199">
        <f t="shared" si="530"/>
        <v>28.704450999999999</v>
      </c>
      <c r="AI168" s="199">
        <f t="shared" si="530"/>
        <v>29.349473099999997</v>
      </c>
      <c r="AJ168" s="199">
        <f t="shared" si="530"/>
        <v>29.349473099999997</v>
      </c>
      <c r="AK168" s="310">
        <f t="shared" si="530"/>
        <v>30.773898099999997</v>
      </c>
      <c r="AL168" s="200">
        <f t="shared" si="530"/>
        <v>31.778005899999997</v>
      </c>
      <c r="AM168" s="199">
        <f t="shared" si="530"/>
        <v>31.778005899999997</v>
      </c>
      <c r="AN168" s="199">
        <f t="shared" si="530"/>
        <v>31.778005899999997</v>
      </c>
      <c r="AO168" s="199">
        <f t="shared" si="530"/>
        <v>31.778005899999997</v>
      </c>
      <c r="AP168" s="199">
        <f t="shared" si="530"/>
        <v>32.449282699999998</v>
      </c>
      <c r="AQ168" s="199">
        <f t="shared" si="530"/>
        <v>33.375058699999997</v>
      </c>
      <c r="AR168" s="199">
        <f t="shared" si="530"/>
        <v>33.375058699999997</v>
      </c>
      <c r="AS168" s="199">
        <f t="shared" si="530"/>
        <v>35.957352699999994</v>
      </c>
      <c r="AT168" s="199">
        <f t="shared" si="530"/>
        <v>37.957352699999994</v>
      </c>
      <c r="AU168" s="199">
        <f t="shared" si="530"/>
        <v>37.957352699999994</v>
      </c>
      <c r="AV168" s="199">
        <f t="shared" si="530"/>
        <v>38.130707699999995</v>
      </c>
      <c r="AW168" s="310">
        <f t="shared" si="530"/>
        <v>38.130707699999995</v>
      </c>
      <c r="AX168" s="199">
        <f t="shared" ref="AX168:BH168" si="531">AW168+AX161/1000</f>
        <v>38.130707699999995</v>
      </c>
      <c r="AY168" s="199">
        <f t="shared" si="531"/>
        <v>38.130707699999995</v>
      </c>
      <c r="AZ168" s="199">
        <f t="shared" si="531"/>
        <v>38.130707699999995</v>
      </c>
      <c r="BA168" s="199">
        <f t="shared" si="531"/>
        <v>39.806503998999993</v>
      </c>
      <c r="BB168" s="199">
        <f t="shared" si="531"/>
        <v>39.806503998999993</v>
      </c>
      <c r="BC168" s="199">
        <f t="shared" si="531"/>
        <v>41.296933998999997</v>
      </c>
      <c r="BD168" s="199">
        <f t="shared" si="531"/>
        <v>41.471881998999997</v>
      </c>
      <c r="BE168" s="199">
        <f t="shared" si="531"/>
        <v>44.180299998999999</v>
      </c>
      <c r="BF168" s="199">
        <f t="shared" si="531"/>
        <v>47.036348998999998</v>
      </c>
      <c r="BG168" s="199">
        <f t="shared" si="531"/>
        <v>49.448336298999997</v>
      </c>
      <c r="BH168" s="199">
        <f t="shared" si="531"/>
        <v>59.190536299000001</v>
      </c>
      <c r="BI168" s="199">
        <f t="shared" ref="BI168:BU168" si="532">BH168+BI161/1000</f>
        <v>61.839330299000004</v>
      </c>
      <c r="BJ168" s="200">
        <f t="shared" si="532"/>
        <v>65.313403299000001</v>
      </c>
      <c r="BK168" s="199">
        <f t="shared" si="532"/>
        <v>68.655025699000007</v>
      </c>
      <c r="BL168" s="199">
        <f t="shared" si="532"/>
        <v>68.655025699000007</v>
      </c>
      <c r="BM168" s="199">
        <f t="shared" si="532"/>
        <v>71.41880869900001</v>
      </c>
      <c r="BN168" s="199">
        <f t="shared" si="532"/>
        <v>72.186166699000012</v>
      </c>
      <c r="BO168" s="199">
        <f t="shared" si="532"/>
        <v>83.30866029900001</v>
      </c>
      <c r="BP168" s="199">
        <f t="shared" si="532"/>
        <v>86.024853299000014</v>
      </c>
      <c r="BQ168" s="199">
        <f t="shared" si="532"/>
        <v>89.694231299000009</v>
      </c>
      <c r="BR168" s="199">
        <f t="shared" si="532"/>
        <v>92.634647299000008</v>
      </c>
      <c r="BS168" s="199">
        <f t="shared" si="532"/>
        <v>95.80276729900001</v>
      </c>
      <c r="BT168" s="199">
        <f t="shared" si="532"/>
        <v>99.327523299000006</v>
      </c>
      <c r="BU168" s="310">
        <f t="shared" si="532"/>
        <v>107.36008829900001</v>
      </c>
      <c r="BV168" s="200">
        <f t="shared" si="465"/>
        <v>109.635352299</v>
      </c>
      <c r="BW168" s="199">
        <f t="shared" si="466"/>
        <v>110.412676299</v>
      </c>
      <c r="BX168" s="199">
        <f t="shared" si="467"/>
        <v>114.100970299</v>
      </c>
      <c r="BY168" s="199">
        <f t="shared" si="468"/>
        <v>117.459996299</v>
      </c>
      <c r="BZ168" s="199">
        <f t="shared" si="469"/>
        <v>132.83579329899999</v>
      </c>
      <c r="CA168" s="199">
        <f t="shared" si="470"/>
        <v>134.98363654899998</v>
      </c>
      <c r="CB168" s="199">
        <f t="shared" si="471"/>
        <v>149.52525054899999</v>
      </c>
      <c r="CC168" s="199">
        <f t="shared" si="472"/>
        <v>158.25896354899999</v>
      </c>
      <c r="CD168" s="199">
        <f t="shared" si="473"/>
        <v>170.837354549</v>
      </c>
      <c r="CE168" s="199">
        <f t="shared" si="474"/>
        <v>171.47929754899999</v>
      </c>
      <c r="CF168" s="199">
        <f t="shared" si="475"/>
        <v>181.617355549</v>
      </c>
      <c r="CG168" s="199">
        <f t="shared" si="476"/>
        <v>190.577755973</v>
      </c>
      <c r="CH168" s="200">
        <f t="shared" si="477"/>
        <v>205.41169497299998</v>
      </c>
      <c r="CI168" s="199">
        <f t="shared" si="478"/>
        <v>205.96471700999999</v>
      </c>
      <c r="CJ168" s="199">
        <f t="shared" si="479"/>
        <v>234.80339064799998</v>
      </c>
      <c r="CK168" s="199">
        <f t="shared" si="480"/>
        <v>236.69362764799999</v>
      </c>
      <c r="CL168" s="199">
        <f t="shared" si="481"/>
        <v>237.03689764799998</v>
      </c>
      <c r="CM168" s="199">
        <f t="shared" si="482"/>
        <v>242.54124164799998</v>
      </c>
      <c r="CN168" s="199">
        <f t="shared" si="483"/>
        <v>251.48683264799999</v>
      </c>
      <c r="CO168" s="199">
        <f t="shared" si="484"/>
        <v>260.81011964800001</v>
      </c>
      <c r="CP168" s="199">
        <f t="shared" si="485"/>
        <v>261.00159664800003</v>
      </c>
      <c r="CQ168" s="199">
        <f t="shared" si="486"/>
        <v>272.37540864800002</v>
      </c>
      <c r="CR168" s="199">
        <f t="shared" si="487"/>
        <v>300.35503064800002</v>
      </c>
      <c r="CS168" s="310">
        <f t="shared" si="488"/>
        <v>340.704960648</v>
      </c>
      <c r="CT168" s="200">
        <f t="shared" si="489"/>
        <v>344.48889664799998</v>
      </c>
      <c r="CU168" s="199">
        <f t="shared" si="490"/>
        <v>344.48889664799998</v>
      </c>
      <c r="CV168" s="199">
        <f t="shared" si="491"/>
        <v>344.48889664799998</v>
      </c>
      <c r="CW168" s="199">
        <f t="shared" si="492"/>
        <v>352.32907264799996</v>
      </c>
      <c r="CX168" s="199">
        <f t="shared" si="493"/>
        <v>352.32907264799996</v>
      </c>
      <c r="CY168" s="199">
        <f t="shared" si="494"/>
        <v>352.32907264799996</v>
      </c>
      <c r="CZ168" s="199">
        <f t="shared" si="495"/>
        <v>352.32907264799996</v>
      </c>
      <c r="DA168" s="199">
        <f t="shared" si="496"/>
        <v>355.42269364799995</v>
      </c>
      <c r="DB168" s="199">
        <f t="shared" si="497"/>
        <v>355.42269364799995</v>
      </c>
      <c r="DC168" s="199">
        <f t="shared" si="498"/>
        <v>355.68310364799993</v>
      </c>
      <c r="DD168" s="199">
        <f t="shared" si="499"/>
        <v>355.68310364799993</v>
      </c>
      <c r="DE168" s="310">
        <f t="shared" si="500"/>
        <v>359.66021864799995</v>
      </c>
      <c r="DF168" s="200">
        <f t="shared" si="501"/>
        <v>359.66021864799995</v>
      </c>
      <c r="DG168" s="199">
        <f t="shared" si="502"/>
        <v>359.66021864799995</v>
      </c>
      <c r="DH168" s="199">
        <f t="shared" si="503"/>
        <v>359.66021864799995</v>
      </c>
      <c r="DI168" s="199">
        <f t="shared" si="504"/>
        <v>359.66021864799995</v>
      </c>
      <c r="DJ168" s="199">
        <f t="shared" si="505"/>
        <v>359.66021864799995</v>
      </c>
      <c r="DK168" s="199">
        <f t="shared" si="506"/>
        <v>359.66021864799995</v>
      </c>
      <c r="DL168" s="199">
        <f t="shared" si="507"/>
        <v>359.66021864799995</v>
      </c>
      <c r="DM168" s="199">
        <f t="shared" si="508"/>
        <v>359.66021864799995</v>
      </c>
      <c r="DN168" s="199">
        <f t="shared" si="509"/>
        <v>359.66021864799995</v>
      </c>
      <c r="DO168" s="199">
        <f t="shared" si="510"/>
        <v>359.66021864799995</v>
      </c>
      <c r="DP168" s="199">
        <f t="shared" si="511"/>
        <v>359.66021864799995</v>
      </c>
      <c r="DQ168" s="310">
        <f t="shared" si="512"/>
        <v>359.66021864799995</v>
      </c>
      <c r="DR168" s="200">
        <f t="shared" si="513"/>
        <v>359.66021864799995</v>
      </c>
      <c r="DS168" s="199">
        <f t="shared" si="514"/>
        <v>359.66021864799995</v>
      </c>
      <c r="DT168" s="199">
        <f t="shared" si="515"/>
        <v>359.66021864799995</v>
      </c>
      <c r="DU168" s="199">
        <f t="shared" si="516"/>
        <v>359.66021864799995</v>
      </c>
      <c r="DV168" s="199">
        <f t="shared" si="517"/>
        <v>359.66021864799995</v>
      </c>
      <c r="DW168" s="199">
        <f t="shared" si="518"/>
        <v>359.66021864799995</v>
      </c>
      <c r="DX168" s="199">
        <f t="shared" si="519"/>
        <v>359.66021864799995</v>
      </c>
      <c r="DY168" s="199">
        <f t="shared" si="520"/>
        <v>359.66021864799995</v>
      </c>
      <c r="DZ168" s="199">
        <f t="shared" si="521"/>
        <v>359.66021864799995</v>
      </c>
      <c r="EA168" s="199">
        <f t="shared" si="522"/>
        <v>359.66021864799995</v>
      </c>
      <c r="EB168" s="199">
        <f t="shared" si="523"/>
        <v>359.66021864799995</v>
      </c>
      <c r="EC168" s="310">
        <f t="shared" si="524"/>
        <v>359.66021864799995</v>
      </c>
      <c r="ED168" s="798"/>
      <c r="EE168" s="32"/>
    </row>
    <row r="169" spans="1:135">
      <c r="A169" s="21" t="s">
        <v>1329</v>
      </c>
      <c r="B169" s="258"/>
      <c r="N169" s="199">
        <f t="shared" si="461"/>
        <v>0</v>
      </c>
      <c r="O169" s="199">
        <f t="shared" ref="O169:AC169" si="533">N169+O162/1000</f>
        <v>0</v>
      </c>
      <c r="P169" s="199">
        <f t="shared" si="533"/>
        <v>0</v>
      </c>
      <c r="Q169" s="199">
        <f t="shared" si="533"/>
        <v>0</v>
      </c>
      <c r="R169" s="199">
        <f t="shared" si="533"/>
        <v>0</v>
      </c>
      <c r="S169" s="199">
        <f t="shared" si="533"/>
        <v>0</v>
      </c>
      <c r="T169" s="199">
        <f t="shared" si="533"/>
        <v>0</v>
      </c>
      <c r="U169" s="199">
        <f t="shared" si="533"/>
        <v>0</v>
      </c>
      <c r="V169" s="199">
        <f t="shared" si="533"/>
        <v>0</v>
      </c>
      <c r="W169" s="199">
        <f t="shared" si="533"/>
        <v>0</v>
      </c>
      <c r="X169" s="199">
        <f t="shared" si="533"/>
        <v>0</v>
      </c>
      <c r="Y169" s="199">
        <f t="shared" si="533"/>
        <v>0.52340000000000009</v>
      </c>
      <c r="Z169" s="200">
        <f t="shared" si="533"/>
        <v>6.6234000000000002</v>
      </c>
      <c r="AA169" s="199">
        <f t="shared" si="533"/>
        <v>6.6234000000000002</v>
      </c>
      <c r="AB169" s="199">
        <f t="shared" si="533"/>
        <v>6.6234000000000002</v>
      </c>
      <c r="AC169" s="199">
        <f t="shared" si="533"/>
        <v>6.6234000000000002</v>
      </c>
      <c r="AD169" s="199">
        <f t="shared" ref="AD169:AW169" si="534">AC169+AD162/1000</f>
        <v>6.6234000000000002</v>
      </c>
      <c r="AE169" s="199">
        <f t="shared" si="534"/>
        <v>6.6234000000000002</v>
      </c>
      <c r="AF169" s="199">
        <f t="shared" si="534"/>
        <v>7.6902737500000002</v>
      </c>
      <c r="AG169" s="199">
        <f t="shared" si="534"/>
        <v>8.6534177500000009</v>
      </c>
      <c r="AH169" s="199">
        <f t="shared" si="534"/>
        <v>8.6534177500000009</v>
      </c>
      <c r="AI169" s="199">
        <f t="shared" si="534"/>
        <v>8.6534177500000009</v>
      </c>
      <c r="AJ169" s="199">
        <f t="shared" si="534"/>
        <v>8.6534177500000009</v>
      </c>
      <c r="AK169" s="310">
        <f t="shared" si="534"/>
        <v>8.6534177500000009</v>
      </c>
      <c r="AL169" s="200">
        <f t="shared" si="534"/>
        <v>8.6534177500000009</v>
      </c>
      <c r="AM169" s="199">
        <f t="shared" si="534"/>
        <v>8.6534177500000009</v>
      </c>
      <c r="AN169" s="199">
        <f t="shared" si="534"/>
        <v>8.6534177500000009</v>
      </c>
      <c r="AO169" s="199">
        <f t="shared" si="534"/>
        <v>8.6534177500000009</v>
      </c>
      <c r="AP169" s="199">
        <f t="shared" si="534"/>
        <v>8.6534177500000009</v>
      </c>
      <c r="AQ169" s="199">
        <f t="shared" si="534"/>
        <v>8.6534177500000009</v>
      </c>
      <c r="AR169" s="199">
        <f t="shared" si="534"/>
        <v>8.6534177500000009</v>
      </c>
      <c r="AS169" s="199">
        <f t="shared" si="534"/>
        <v>8.6534177500000009</v>
      </c>
      <c r="AT169" s="199">
        <f t="shared" si="534"/>
        <v>8.6534177500000009</v>
      </c>
      <c r="AU169" s="199">
        <f t="shared" si="534"/>
        <v>8.6534177500000009</v>
      </c>
      <c r="AV169" s="199">
        <f t="shared" si="534"/>
        <v>8.6534177500000009</v>
      </c>
      <c r="AW169" s="310">
        <f t="shared" si="534"/>
        <v>8.8654377500000017</v>
      </c>
      <c r="AX169" s="199">
        <f t="shared" ref="AX169:BH169" si="535">AW169+AX162/1000</f>
        <v>8.8654377500000017</v>
      </c>
      <c r="AY169" s="199">
        <f t="shared" si="535"/>
        <v>8.8654377500000017</v>
      </c>
      <c r="AZ169" s="199">
        <f t="shared" si="535"/>
        <v>9.1100297500000025</v>
      </c>
      <c r="BA169" s="199">
        <f t="shared" si="535"/>
        <v>9.1100297500000025</v>
      </c>
      <c r="BB169" s="199">
        <f t="shared" si="535"/>
        <v>9.1100297500000025</v>
      </c>
      <c r="BC169" s="199">
        <f t="shared" si="535"/>
        <v>9.1100297500000025</v>
      </c>
      <c r="BD169" s="199">
        <f t="shared" si="535"/>
        <v>9.1100297500000025</v>
      </c>
      <c r="BE169" s="199">
        <f t="shared" si="535"/>
        <v>9.1100297500000025</v>
      </c>
      <c r="BF169" s="199">
        <f t="shared" si="535"/>
        <v>9.1100297500000025</v>
      </c>
      <c r="BG169" s="199">
        <f t="shared" si="535"/>
        <v>11.838468154000003</v>
      </c>
      <c r="BH169" s="199">
        <f t="shared" si="535"/>
        <v>11.838468154000003</v>
      </c>
      <c r="BI169" s="199">
        <f t="shared" ref="BI169:BU169" si="536">BH169+BI162/1000</f>
        <v>11.838468154000003</v>
      </c>
      <c r="BJ169" s="200">
        <f t="shared" si="536"/>
        <v>11.838468154000003</v>
      </c>
      <c r="BK169" s="199">
        <f t="shared" si="536"/>
        <v>11.838468154000003</v>
      </c>
      <c r="BL169" s="199">
        <f t="shared" si="536"/>
        <v>11.838468154000003</v>
      </c>
      <c r="BM169" s="199">
        <f t="shared" si="536"/>
        <v>12.440644154000003</v>
      </c>
      <c r="BN169" s="199">
        <f t="shared" si="536"/>
        <v>13.881800154000002</v>
      </c>
      <c r="BO169" s="199">
        <f t="shared" si="536"/>
        <v>13.881800154000002</v>
      </c>
      <c r="BP169" s="199">
        <f t="shared" si="536"/>
        <v>13.881800154000002</v>
      </c>
      <c r="BQ169" s="199">
        <f t="shared" si="536"/>
        <v>13.881800154000002</v>
      </c>
      <c r="BR169" s="199">
        <f t="shared" si="536"/>
        <v>13.881800154000002</v>
      </c>
      <c r="BS169" s="199">
        <f t="shared" si="536"/>
        <v>13.881800154000002</v>
      </c>
      <c r="BT169" s="199">
        <f t="shared" si="536"/>
        <v>13.881800154000002</v>
      </c>
      <c r="BU169" s="310">
        <f t="shared" si="536"/>
        <v>14.781800154000003</v>
      </c>
      <c r="BV169" s="200">
        <f t="shared" si="465"/>
        <v>14.781800154000003</v>
      </c>
      <c r="BW169" s="199">
        <f t="shared" si="466"/>
        <v>14.781800154000003</v>
      </c>
      <c r="BX169" s="199">
        <f t="shared" si="467"/>
        <v>15.389566154000002</v>
      </c>
      <c r="BY169" s="199">
        <f t="shared" si="468"/>
        <v>15.389566154000002</v>
      </c>
      <c r="BZ169" s="199">
        <f t="shared" si="469"/>
        <v>15.389566154000002</v>
      </c>
      <c r="CA169" s="199">
        <f t="shared" si="470"/>
        <v>15.389566154000002</v>
      </c>
      <c r="CB169" s="199">
        <f t="shared" si="471"/>
        <v>15.389566154000002</v>
      </c>
      <c r="CC169" s="199">
        <f t="shared" si="472"/>
        <v>15.389566154000002</v>
      </c>
      <c r="CD169" s="199">
        <f t="shared" si="473"/>
        <v>20.188871154000005</v>
      </c>
      <c r="CE169" s="199">
        <f t="shared" si="474"/>
        <v>20.188871154000005</v>
      </c>
      <c r="CF169" s="199">
        <f t="shared" si="475"/>
        <v>20.188871154000005</v>
      </c>
      <c r="CG169" s="199">
        <f t="shared" si="476"/>
        <v>20.561426154000003</v>
      </c>
      <c r="CH169" s="200">
        <f t="shared" si="477"/>
        <v>20.561426154000003</v>
      </c>
      <c r="CI169" s="199">
        <f t="shared" si="478"/>
        <v>20.561426154000003</v>
      </c>
      <c r="CJ169" s="199">
        <f t="shared" si="479"/>
        <v>22.479023584000004</v>
      </c>
      <c r="CK169" s="199">
        <f t="shared" si="480"/>
        <v>22.479023584000004</v>
      </c>
      <c r="CL169" s="199">
        <f t="shared" si="481"/>
        <v>22.479023584000004</v>
      </c>
      <c r="CM169" s="199">
        <f t="shared" si="482"/>
        <v>23.077758584000005</v>
      </c>
      <c r="CN169" s="199">
        <f t="shared" si="483"/>
        <v>37.508415584000005</v>
      </c>
      <c r="CO169" s="199">
        <f t="shared" si="484"/>
        <v>37.508415584000005</v>
      </c>
      <c r="CP169" s="199">
        <f t="shared" si="485"/>
        <v>37.508415584000005</v>
      </c>
      <c r="CQ169" s="199">
        <f t="shared" si="486"/>
        <v>40.583249584000008</v>
      </c>
      <c r="CR169" s="199">
        <f t="shared" si="487"/>
        <v>41.289672584000009</v>
      </c>
      <c r="CS169" s="310">
        <f t="shared" si="488"/>
        <v>41.289672584000009</v>
      </c>
      <c r="CT169" s="200">
        <f t="shared" si="489"/>
        <v>41.289672584000009</v>
      </c>
      <c r="CU169" s="199">
        <f t="shared" si="490"/>
        <v>41.289672584000009</v>
      </c>
      <c r="CV169" s="199">
        <f t="shared" si="491"/>
        <v>41.289672584000009</v>
      </c>
      <c r="CW169" s="199">
        <f t="shared" si="492"/>
        <v>41.289672584000009</v>
      </c>
      <c r="CX169" s="199">
        <f t="shared" si="493"/>
        <v>41.289672584000009</v>
      </c>
      <c r="CY169" s="199">
        <f t="shared" si="494"/>
        <v>41.289672584000009</v>
      </c>
      <c r="CZ169" s="199">
        <f t="shared" si="495"/>
        <v>41.289672584000009</v>
      </c>
      <c r="DA169" s="199">
        <f t="shared" si="496"/>
        <v>41.289672584000009</v>
      </c>
      <c r="DB169" s="199">
        <f t="shared" si="497"/>
        <v>41.289672584000009</v>
      </c>
      <c r="DC169" s="199">
        <f t="shared" si="498"/>
        <v>41.289672584000009</v>
      </c>
      <c r="DD169" s="199">
        <f t="shared" si="499"/>
        <v>41.289672584000009</v>
      </c>
      <c r="DE169" s="310">
        <f t="shared" si="500"/>
        <v>41.289672584000009</v>
      </c>
      <c r="DF169" s="200">
        <f t="shared" si="501"/>
        <v>41.289672584000009</v>
      </c>
      <c r="DG169" s="199">
        <f t="shared" si="502"/>
        <v>41.289672584000009</v>
      </c>
      <c r="DH169" s="199">
        <f t="shared" si="503"/>
        <v>41.289672584000009</v>
      </c>
      <c r="DI169" s="199">
        <f t="shared" si="504"/>
        <v>41.289672584000009</v>
      </c>
      <c r="DJ169" s="199">
        <f t="shared" si="505"/>
        <v>41.289672584000009</v>
      </c>
      <c r="DK169" s="199">
        <f t="shared" si="506"/>
        <v>41.289672584000009</v>
      </c>
      <c r="DL169" s="199">
        <f t="shared" si="507"/>
        <v>41.289672584000009</v>
      </c>
      <c r="DM169" s="199">
        <f t="shared" si="508"/>
        <v>41.289672584000009</v>
      </c>
      <c r="DN169" s="199">
        <f t="shared" si="509"/>
        <v>41.289672584000009</v>
      </c>
      <c r="DO169" s="199">
        <f t="shared" si="510"/>
        <v>41.289672584000009</v>
      </c>
      <c r="DP169" s="199">
        <f t="shared" si="511"/>
        <v>41.289672584000009</v>
      </c>
      <c r="DQ169" s="310">
        <f t="shared" si="512"/>
        <v>41.289672584000009</v>
      </c>
      <c r="DR169" s="200">
        <f t="shared" si="513"/>
        <v>41.289672584000009</v>
      </c>
      <c r="DS169" s="199">
        <f t="shared" si="514"/>
        <v>41.289672584000009</v>
      </c>
      <c r="DT169" s="199">
        <f t="shared" si="515"/>
        <v>41.289672584000009</v>
      </c>
      <c r="DU169" s="199">
        <f t="shared" si="516"/>
        <v>41.289672584000009</v>
      </c>
      <c r="DV169" s="199">
        <f t="shared" si="517"/>
        <v>41.289672584000009</v>
      </c>
      <c r="DW169" s="199">
        <f t="shared" si="518"/>
        <v>41.289672584000009</v>
      </c>
      <c r="DX169" s="199">
        <f t="shared" si="519"/>
        <v>41.289672584000009</v>
      </c>
      <c r="DY169" s="199">
        <f t="shared" si="520"/>
        <v>41.289672584000009</v>
      </c>
      <c r="DZ169" s="199">
        <f t="shared" si="521"/>
        <v>41.289672584000009</v>
      </c>
      <c r="EA169" s="199">
        <f t="shared" si="522"/>
        <v>41.289672584000009</v>
      </c>
      <c r="EB169" s="199">
        <f t="shared" si="523"/>
        <v>41.289672584000009</v>
      </c>
      <c r="EC169" s="310">
        <f t="shared" si="524"/>
        <v>41.289672584000009</v>
      </c>
      <c r="ED169" s="798"/>
      <c r="EE169" s="32"/>
    </row>
    <row r="170" spans="1:135">
      <c r="A170" s="19" t="s">
        <v>1328</v>
      </c>
      <c r="B170" s="258"/>
      <c r="N170" s="199">
        <f t="shared" si="461"/>
        <v>0</v>
      </c>
      <c r="O170" s="199">
        <f t="shared" ref="O170:AC170" si="537">N170+O163/1000</f>
        <v>0</v>
      </c>
      <c r="P170" s="199">
        <f t="shared" si="537"/>
        <v>0</v>
      </c>
      <c r="Q170" s="199">
        <f t="shared" si="537"/>
        <v>0</v>
      </c>
      <c r="R170" s="199">
        <f t="shared" si="537"/>
        <v>0</v>
      </c>
      <c r="S170" s="199">
        <f t="shared" si="537"/>
        <v>0</v>
      </c>
      <c r="T170" s="199">
        <f t="shared" si="537"/>
        <v>0</v>
      </c>
      <c r="U170" s="199">
        <f t="shared" si="537"/>
        <v>0</v>
      </c>
      <c r="V170" s="199">
        <f t="shared" si="537"/>
        <v>0</v>
      </c>
      <c r="W170" s="199">
        <f t="shared" si="537"/>
        <v>0</v>
      </c>
      <c r="X170" s="199">
        <f t="shared" si="537"/>
        <v>0</v>
      </c>
      <c r="Y170" s="199">
        <f t="shared" si="537"/>
        <v>0</v>
      </c>
      <c r="Z170" s="200">
        <f t="shared" si="537"/>
        <v>0</v>
      </c>
      <c r="AA170" s="199">
        <f t="shared" si="537"/>
        <v>0</v>
      </c>
      <c r="AB170" s="199">
        <f t="shared" si="537"/>
        <v>0</v>
      </c>
      <c r="AC170" s="199">
        <f t="shared" si="537"/>
        <v>0</v>
      </c>
      <c r="AD170" s="199">
        <f t="shared" ref="AD170:AW170" si="538">AC170+AD163/1000</f>
        <v>0</v>
      </c>
      <c r="AE170" s="199">
        <f t="shared" si="538"/>
        <v>0</v>
      </c>
      <c r="AF170" s="199">
        <f t="shared" si="538"/>
        <v>5.2133574999999999</v>
      </c>
      <c r="AG170" s="199">
        <f t="shared" si="538"/>
        <v>5.2133574999999999</v>
      </c>
      <c r="AH170" s="199">
        <f t="shared" si="538"/>
        <v>5.2133574999999999</v>
      </c>
      <c r="AI170" s="199">
        <f t="shared" si="538"/>
        <v>12.687808756500001</v>
      </c>
      <c r="AJ170" s="199">
        <f t="shared" si="538"/>
        <v>15.978335765500001</v>
      </c>
      <c r="AK170" s="310">
        <f t="shared" si="538"/>
        <v>15.978335765500001</v>
      </c>
      <c r="AL170" s="200">
        <f t="shared" si="538"/>
        <v>36.977804765499997</v>
      </c>
      <c r="AM170" s="199">
        <f t="shared" si="538"/>
        <v>58.435779765499994</v>
      </c>
      <c r="AN170" s="199">
        <f t="shared" si="538"/>
        <v>72.25699176549999</v>
      </c>
      <c r="AO170" s="199">
        <f t="shared" si="538"/>
        <v>76.694843765499996</v>
      </c>
      <c r="AP170" s="199">
        <f t="shared" si="538"/>
        <v>84.779082375499996</v>
      </c>
      <c r="AQ170" s="199">
        <f t="shared" si="538"/>
        <v>91.128682375499992</v>
      </c>
      <c r="AR170" s="199">
        <f t="shared" si="538"/>
        <v>95.128682375499992</v>
      </c>
      <c r="AS170" s="199">
        <f t="shared" si="538"/>
        <v>102.49392137549999</v>
      </c>
      <c r="AT170" s="199">
        <f t="shared" si="538"/>
        <v>115.7058599655</v>
      </c>
      <c r="AU170" s="199">
        <f t="shared" si="538"/>
        <v>115.7058599655</v>
      </c>
      <c r="AV170" s="199">
        <f t="shared" si="538"/>
        <v>116.4954159655</v>
      </c>
      <c r="AW170" s="310">
        <f t="shared" si="538"/>
        <v>117.9383359655</v>
      </c>
      <c r="AX170" s="199">
        <f t="shared" ref="AX170:BH170" si="539">AW170+AX163/1000</f>
        <v>117.9383359655</v>
      </c>
      <c r="AY170" s="199">
        <f t="shared" si="539"/>
        <v>118.4461419655</v>
      </c>
      <c r="AZ170" s="199">
        <f t="shared" si="539"/>
        <v>118.4461419655</v>
      </c>
      <c r="BA170" s="199">
        <f t="shared" si="539"/>
        <v>118.4461419655</v>
      </c>
      <c r="BB170" s="199">
        <f t="shared" si="539"/>
        <v>118.4461419655</v>
      </c>
      <c r="BC170" s="199">
        <f t="shared" si="539"/>
        <v>121.4211419655</v>
      </c>
      <c r="BD170" s="199">
        <f t="shared" si="539"/>
        <v>126.9160719655</v>
      </c>
      <c r="BE170" s="199">
        <f t="shared" si="539"/>
        <v>133.55188796549999</v>
      </c>
      <c r="BF170" s="199">
        <f t="shared" si="539"/>
        <v>133.55188796549999</v>
      </c>
      <c r="BG170" s="199">
        <f t="shared" si="539"/>
        <v>133.55188796549999</v>
      </c>
      <c r="BH170" s="199">
        <f t="shared" si="539"/>
        <v>133.55188796549999</v>
      </c>
      <c r="BI170" s="199">
        <f t="shared" ref="BI170:BU170" si="540">BH170+BI163/1000</f>
        <v>134.01742896549999</v>
      </c>
      <c r="BJ170" s="200">
        <f t="shared" si="540"/>
        <v>134.01742896549999</v>
      </c>
      <c r="BK170" s="199">
        <f t="shared" si="540"/>
        <v>136.37977100749998</v>
      </c>
      <c r="BL170" s="199">
        <f t="shared" si="540"/>
        <v>136.37977100749998</v>
      </c>
      <c r="BM170" s="199">
        <f t="shared" si="540"/>
        <v>136.37977100749998</v>
      </c>
      <c r="BN170" s="199">
        <f t="shared" si="540"/>
        <v>140.59969700749997</v>
      </c>
      <c r="BO170" s="199">
        <f t="shared" si="540"/>
        <v>141.19762000749998</v>
      </c>
      <c r="BP170" s="199">
        <f t="shared" si="540"/>
        <v>142.31711400749998</v>
      </c>
      <c r="BQ170" s="199">
        <f t="shared" si="540"/>
        <v>142.76976700749998</v>
      </c>
      <c r="BR170" s="199">
        <f t="shared" si="540"/>
        <v>144.35923100749997</v>
      </c>
      <c r="BS170" s="199">
        <f t="shared" si="540"/>
        <v>144.35923100749997</v>
      </c>
      <c r="BT170" s="199">
        <f t="shared" si="540"/>
        <v>144.45641200749998</v>
      </c>
      <c r="BU170" s="310">
        <f t="shared" si="540"/>
        <v>144.45641200749998</v>
      </c>
      <c r="BV170" s="200">
        <f t="shared" si="465"/>
        <v>144.90334200749999</v>
      </c>
      <c r="BW170" s="199">
        <f t="shared" si="466"/>
        <v>146.49330720749998</v>
      </c>
      <c r="BX170" s="199">
        <f t="shared" si="467"/>
        <v>147.65842320749999</v>
      </c>
      <c r="BY170" s="199">
        <f t="shared" si="468"/>
        <v>147.7462832075</v>
      </c>
      <c r="BZ170" s="199">
        <f t="shared" si="469"/>
        <v>147.7462832075</v>
      </c>
      <c r="CA170" s="199">
        <f t="shared" si="470"/>
        <v>147.7462832075</v>
      </c>
      <c r="CB170" s="199">
        <f t="shared" si="471"/>
        <v>147.7462832075</v>
      </c>
      <c r="CC170" s="199">
        <f t="shared" si="472"/>
        <v>147.7462832075</v>
      </c>
      <c r="CD170" s="199">
        <f t="shared" si="473"/>
        <v>147.85899920750001</v>
      </c>
      <c r="CE170" s="199">
        <f t="shared" si="474"/>
        <v>147.85899920750001</v>
      </c>
      <c r="CF170" s="199">
        <f t="shared" si="475"/>
        <v>148.08652370749999</v>
      </c>
      <c r="CG170" s="199">
        <f t="shared" si="476"/>
        <v>148.08652370749999</v>
      </c>
      <c r="CH170" s="200">
        <f t="shared" si="477"/>
        <v>148.08652370749999</v>
      </c>
      <c r="CI170" s="199">
        <f t="shared" si="478"/>
        <v>148.08652370749999</v>
      </c>
      <c r="CJ170" s="199">
        <f t="shared" si="479"/>
        <v>161.79365570749999</v>
      </c>
      <c r="CK170" s="199">
        <f t="shared" si="480"/>
        <v>162.2262997075</v>
      </c>
      <c r="CL170" s="199">
        <f t="shared" si="481"/>
        <v>162.2262997075</v>
      </c>
      <c r="CM170" s="199">
        <f t="shared" si="482"/>
        <v>162.2262997075</v>
      </c>
      <c r="CN170" s="199">
        <f t="shared" si="483"/>
        <v>177.37281870750002</v>
      </c>
      <c r="CO170" s="199">
        <f t="shared" si="484"/>
        <v>177.97947270750001</v>
      </c>
      <c r="CP170" s="199">
        <f t="shared" si="485"/>
        <v>177.97947270750001</v>
      </c>
      <c r="CQ170" s="199">
        <f t="shared" si="486"/>
        <v>177.97947270750001</v>
      </c>
      <c r="CR170" s="199">
        <f t="shared" si="487"/>
        <v>177.97947270750001</v>
      </c>
      <c r="CS170" s="310">
        <f t="shared" si="488"/>
        <v>177.97947270750001</v>
      </c>
      <c r="CT170" s="200">
        <f t="shared" si="489"/>
        <v>177.97947270750001</v>
      </c>
      <c r="CU170" s="199">
        <f t="shared" si="490"/>
        <v>178.2385707075</v>
      </c>
      <c r="CV170" s="199">
        <f t="shared" si="491"/>
        <v>178.2385707075</v>
      </c>
      <c r="CW170" s="199">
        <f t="shared" si="492"/>
        <v>178.2385707075</v>
      </c>
      <c r="CX170" s="199">
        <f t="shared" si="493"/>
        <v>178.2385707075</v>
      </c>
      <c r="CY170" s="199">
        <f t="shared" si="494"/>
        <v>178.2385707075</v>
      </c>
      <c r="CZ170" s="199">
        <f t="shared" si="495"/>
        <v>178.2385707075</v>
      </c>
      <c r="DA170" s="199">
        <f t="shared" si="496"/>
        <v>178.2385707075</v>
      </c>
      <c r="DB170" s="199">
        <f t="shared" si="497"/>
        <v>178.2385707075</v>
      </c>
      <c r="DC170" s="199">
        <f t="shared" si="498"/>
        <v>178.2385707075</v>
      </c>
      <c r="DD170" s="199">
        <f t="shared" si="499"/>
        <v>178.2385707075</v>
      </c>
      <c r="DE170" s="310">
        <f t="shared" si="500"/>
        <v>178.2385707075</v>
      </c>
      <c r="DF170" s="200">
        <f t="shared" si="501"/>
        <v>178.2385707075</v>
      </c>
      <c r="DG170" s="199">
        <f t="shared" si="502"/>
        <v>178.2385707075</v>
      </c>
      <c r="DH170" s="199">
        <f t="shared" si="503"/>
        <v>178.2385707075</v>
      </c>
      <c r="DI170" s="199">
        <f t="shared" si="504"/>
        <v>178.2385707075</v>
      </c>
      <c r="DJ170" s="199">
        <f t="shared" si="505"/>
        <v>178.2385707075</v>
      </c>
      <c r="DK170" s="199">
        <f t="shared" si="506"/>
        <v>178.2385707075</v>
      </c>
      <c r="DL170" s="199">
        <f t="shared" si="507"/>
        <v>178.2385707075</v>
      </c>
      <c r="DM170" s="199">
        <f t="shared" si="508"/>
        <v>178.2385707075</v>
      </c>
      <c r="DN170" s="199">
        <f t="shared" si="509"/>
        <v>178.2385707075</v>
      </c>
      <c r="DO170" s="199">
        <f t="shared" si="510"/>
        <v>178.2385707075</v>
      </c>
      <c r="DP170" s="199">
        <f t="shared" si="511"/>
        <v>178.2385707075</v>
      </c>
      <c r="DQ170" s="310">
        <f t="shared" si="512"/>
        <v>178.2385707075</v>
      </c>
      <c r="DR170" s="200">
        <f t="shared" si="513"/>
        <v>178.2385707075</v>
      </c>
      <c r="DS170" s="199">
        <f t="shared" si="514"/>
        <v>178.2385707075</v>
      </c>
      <c r="DT170" s="199">
        <f t="shared" si="515"/>
        <v>178.2385707075</v>
      </c>
      <c r="DU170" s="199">
        <f t="shared" si="516"/>
        <v>178.2385707075</v>
      </c>
      <c r="DV170" s="199">
        <f t="shared" si="517"/>
        <v>178.2385707075</v>
      </c>
      <c r="DW170" s="199">
        <f t="shared" si="518"/>
        <v>178.2385707075</v>
      </c>
      <c r="DX170" s="199">
        <f t="shared" si="519"/>
        <v>178.2385707075</v>
      </c>
      <c r="DY170" s="199">
        <f t="shared" si="520"/>
        <v>178.2385707075</v>
      </c>
      <c r="DZ170" s="199">
        <f t="shared" si="521"/>
        <v>178.2385707075</v>
      </c>
      <c r="EA170" s="199">
        <f t="shared" si="522"/>
        <v>178.2385707075</v>
      </c>
      <c r="EB170" s="199">
        <f t="shared" si="523"/>
        <v>178.2385707075</v>
      </c>
      <c r="EC170" s="310">
        <f t="shared" si="524"/>
        <v>178.2385707075</v>
      </c>
      <c r="ED170" s="798"/>
      <c r="EE170" s="32"/>
    </row>
    <row r="171" spans="1:135">
      <c r="A171" s="964" t="s">
        <v>4047</v>
      </c>
      <c r="B171" s="279"/>
      <c r="N171" s="190">
        <f t="shared" si="461"/>
        <v>0</v>
      </c>
      <c r="O171" s="190">
        <f t="shared" ref="O171:AW171" si="541">N171+O164/1000</f>
        <v>0</v>
      </c>
      <c r="P171" s="190">
        <f t="shared" si="541"/>
        <v>0</v>
      </c>
      <c r="Q171" s="190">
        <f t="shared" si="541"/>
        <v>0</v>
      </c>
      <c r="R171" s="190">
        <f t="shared" si="541"/>
        <v>0</v>
      </c>
      <c r="S171" s="190">
        <f t="shared" si="541"/>
        <v>0</v>
      </c>
      <c r="T171" s="190">
        <f t="shared" si="541"/>
        <v>0</v>
      </c>
      <c r="U171" s="190">
        <f t="shared" si="541"/>
        <v>0</v>
      </c>
      <c r="V171" s="190">
        <f t="shared" si="541"/>
        <v>0</v>
      </c>
      <c r="W171" s="190">
        <f t="shared" si="541"/>
        <v>0</v>
      </c>
      <c r="X171" s="190">
        <f t="shared" si="541"/>
        <v>0</v>
      </c>
      <c r="Y171" s="190">
        <f t="shared" si="541"/>
        <v>0</v>
      </c>
      <c r="Z171" s="189">
        <f t="shared" si="541"/>
        <v>0</v>
      </c>
      <c r="AA171" s="190">
        <f t="shared" si="541"/>
        <v>0</v>
      </c>
      <c r="AB171" s="190">
        <f t="shared" si="541"/>
        <v>0</v>
      </c>
      <c r="AC171" s="190">
        <f t="shared" si="541"/>
        <v>0</v>
      </c>
      <c r="AD171" s="190">
        <f t="shared" si="541"/>
        <v>0</v>
      </c>
      <c r="AE171" s="190">
        <f t="shared" si="541"/>
        <v>0</v>
      </c>
      <c r="AF171" s="190">
        <f t="shared" si="541"/>
        <v>0</v>
      </c>
      <c r="AG171" s="190">
        <f t="shared" si="541"/>
        <v>0</v>
      </c>
      <c r="AH171" s="190">
        <f t="shared" si="541"/>
        <v>0</v>
      </c>
      <c r="AI171" s="190">
        <f t="shared" si="541"/>
        <v>0</v>
      </c>
      <c r="AJ171" s="190">
        <f t="shared" si="541"/>
        <v>0</v>
      </c>
      <c r="AK171" s="311">
        <f t="shared" si="541"/>
        <v>0</v>
      </c>
      <c r="AL171" s="189">
        <f t="shared" si="541"/>
        <v>0</v>
      </c>
      <c r="AM171" s="190">
        <f t="shared" si="541"/>
        <v>0</v>
      </c>
      <c r="AN171" s="190">
        <f t="shared" si="541"/>
        <v>0</v>
      </c>
      <c r="AO171" s="190">
        <f t="shared" si="541"/>
        <v>0</v>
      </c>
      <c r="AP171" s="190">
        <f t="shared" si="541"/>
        <v>0</v>
      </c>
      <c r="AQ171" s="190">
        <f t="shared" si="541"/>
        <v>0</v>
      </c>
      <c r="AR171" s="190">
        <f t="shared" si="541"/>
        <v>0</v>
      </c>
      <c r="AS171" s="190">
        <f t="shared" si="541"/>
        <v>0</v>
      </c>
      <c r="AT171" s="190">
        <f t="shared" si="541"/>
        <v>0</v>
      </c>
      <c r="AU171" s="190">
        <f t="shared" si="541"/>
        <v>0</v>
      </c>
      <c r="AV171" s="190">
        <f t="shared" si="541"/>
        <v>0</v>
      </c>
      <c r="AW171" s="310">
        <f t="shared" si="541"/>
        <v>0</v>
      </c>
      <c r="AX171" s="199">
        <f t="shared" ref="AX171:BH171" si="542">AW171+AX164/1000</f>
        <v>0</v>
      </c>
      <c r="AY171" s="199">
        <f t="shared" si="542"/>
        <v>0</v>
      </c>
      <c r="AZ171" s="199">
        <f t="shared" si="542"/>
        <v>0</v>
      </c>
      <c r="BA171" s="199">
        <f t="shared" si="542"/>
        <v>0</v>
      </c>
      <c r="BB171" s="199">
        <f t="shared" si="542"/>
        <v>0</v>
      </c>
      <c r="BC171" s="199">
        <f t="shared" si="542"/>
        <v>0</v>
      </c>
      <c r="BD171" s="199">
        <f t="shared" si="542"/>
        <v>0</v>
      </c>
      <c r="BE171" s="199">
        <f t="shared" si="542"/>
        <v>0</v>
      </c>
      <c r="BF171" s="199">
        <f t="shared" si="542"/>
        <v>0.41004599999999997</v>
      </c>
      <c r="BG171" s="199">
        <f t="shared" si="542"/>
        <v>0.41004599999999997</v>
      </c>
      <c r="BH171" s="199">
        <f t="shared" si="542"/>
        <v>0.41004599999999997</v>
      </c>
      <c r="BI171" s="199">
        <f t="shared" ref="BI171:BU171" si="543">BH171+BI164/1000</f>
        <v>0.41004599999999997</v>
      </c>
      <c r="BJ171" s="200">
        <f t="shared" si="543"/>
        <v>0.41004599999999997</v>
      </c>
      <c r="BK171" s="199">
        <f t="shared" si="543"/>
        <v>0.41004599999999997</v>
      </c>
      <c r="BL171" s="199">
        <f t="shared" si="543"/>
        <v>0.41004599999999997</v>
      </c>
      <c r="BM171" s="199">
        <f t="shared" si="543"/>
        <v>0.41004599999999997</v>
      </c>
      <c r="BN171" s="199">
        <f t="shared" si="543"/>
        <v>0.41004599999999997</v>
      </c>
      <c r="BO171" s="199">
        <f t="shared" si="543"/>
        <v>0.41004599999999997</v>
      </c>
      <c r="BP171" s="199">
        <f t="shared" si="543"/>
        <v>0.41004599999999997</v>
      </c>
      <c r="BQ171" s="199">
        <f t="shared" si="543"/>
        <v>0.41004599999999997</v>
      </c>
      <c r="BR171" s="199">
        <f t="shared" si="543"/>
        <v>0.41004599999999997</v>
      </c>
      <c r="BS171" s="199">
        <f t="shared" si="543"/>
        <v>0.41004599999999997</v>
      </c>
      <c r="BT171" s="199">
        <f t="shared" si="543"/>
        <v>0.41004599999999997</v>
      </c>
      <c r="BU171" s="310">
        <f t="shared" si="543"/>
        <v>0.41004599999999997</v>
      </c>
      <c r="BV171" s="200">
        <f t="shared" si="465"/>
        <v>0.41004599999999997</v>
      </c>
      <c r="BW171" s="199">
        <f t="shared" si="466"/>
        <v>0.41004599999999997</v>
      </c>
      <c r="BX171" s="199">
        <f t="shared" si="467"/>
        <v>0.41004599999999997</v>
      </c>
      <c r="BY171" s="199">
        <f t="shared" si="468"/>
        <v>0.41004599999999997</v>
      </c>
      <c r="BZ171" s="199">
        <f t="shared" si="469"/>
        <v>0.41004599999999997</v>
      </c>
      <c r="CA171" s="199">
        <f t="shared" si="470"/>
        <v>0.41004599999999997</v>
      </c>
      <c r="CB171" s="199">
        <f t="shared" si="471"/>
        <v>0.41004599999999997</v>
      </c>
      <c r="CC171" s="199">
        <f t="shared" si="472"/>
        <v>0.41004599999999997</v>
      </c>
      <c r="CD171" s="199">
        <f t="shared" si="473"/>
        <v>0.41004599999999997</v>
      </c>
      <c r="CE171" s="199">
        <f t="shared" si="474"/>
        <v>0.41004599999999997</v>
      </c>
      <c r="CF171" s="199">
        <f t="shared" si="475"/>
        <v>0.41004599999999997</v>
      </c>
      <c r="CG171" s="199">
        <f t="shared" si="476"/>
        <v>0.41004599999999997</v>
      </c>
      <c r="CH171" s="200">
        <f t="shared" si="477"/>
        <v>0.97061500000000001</v>
      </c>
      <c r="CI171" s="199">
        <f t="shared" si="478"/>
        <v>0.97061500000000001</v>
      </c>
      <c r="CJ171" s="199">
        <f t="shared" si="479"/>
        <v>0.97061500000000001</v>
      </c>
      <c r="CK171" s="199">
        <f t="shared" si="480"/>
        <v>0.97061500000000001</v>
      </c>
      <c r="CL171" s="199">
        <f t="shared" si="481"/>
        <v>0.97061500000000001</v>
      </c>
      <c r="CM171" s="199">
        <f t="shared" si="482"/>
        <v>0.97061500000000001</v>
      </c>
      <c r="CN171" s="199">
        <f t="shared" si="483"/>
        <v>2.739509</v>
      </c>
      <c r="CO171" s="199">
        <f t="shared" si="484"/>
        <v>2.739509</v>
      </c>
      <c r="CP171" s="199">
        <f t="shared" si="485"/>
        <v>2.739509</v>
      </c>
      <c r="CQ171" s="199">
        <f t="shared" si="486"/>
        <v>2.739509</v>
      </c>
      <c r="CR171" s="199">
        <f t="shared" si="487"/>
        <v>2.739509</v>
      </c>
      <c r="CS171" s="310">
        <f t="shared" si="488"/>
        <v>2.739509</v>
      </c>
      <c r="CT171" s="200">
        <f t="shared" si="489"/>
        <v>2.739509</v>
      </c>
      <c r="CU171" s="199">
        <f t="shared" si="490"/>
        <v>2.739509</v>
      </c>
      <c r="CV171" s="199">
        <f t="shared" si="491"/>
        <v>2.739509</v>
      </c>
      <c r="CW171" s="199">
        <f t="shared" si="492"/>
        <v>2.739509</v>
      </c>
      <c r="CX171" s="199">
        <f t="shared" si="493"/>
        <v>2.739509</v>
      </c>
      <c r="CY171" s="199">
        <f t="shared" si="494"/>
        <v>2.739509</v>
      </c>
      <c r="CZ171" s="199">
        <f t="shared" si="495"/>
        <v>2.739509</v>
      </c>
      <c r="DA171" s="199">
        <f t="shared" si="496"/>
        <v>2.739509</v>
      </c>
      <c r="DB171" s="199">
        <f t="shared" si="497"/>
        <v>2.739509</v>
      </c>
      <c r="DC171" s="199">
        <f t="shared" si="498"/>
        <v>2.739509</v>
      </c>
      <c r="DD171" s="199">
        <f t="shared" si="499"/>
        <v>2.739509</v>
      </c>
      <c r="DE171" s="310">
        <f t="shared" si="500"/>
        <v>2.739509</v>
      </c>
      <c r="DF171" s="200">
        <f t="shared" si="501"/>
        <v>2.739509</v>
      </c>
      <c r="DG171" s="199">
        <f t="shared" si="502"/>
        <v>2.739509</v>
      </c>
      <c r="DH171" s="199">
        <f t="shared" si="503"/>
        <v>2.739509</v>
      </c>
      <c r="DI171" s="199">
        <f t="shared" si="504"/>
        <v>2.739509</v>
      </c>
      <c r="DJ171" s="199">
        <f t="shared" si="505"/>
        <v>2.739509</v>
      </c>
      <c r="DK171" s="199">
        <f t="shared" si="506"/>
        <v>2.739509</v>
      </c>
      <c r="DL171" s="199">
        <f t="shared" si="507"/>
        <v>2.739509</v>
      </c>
      <c r="DM171" s="199">
        <f t="shared" si="508"/>
        <v>2.739509</v>
      </c>
      <c r="DN171" s="199">
        <f t="shared" si="509"/>
        <v>2.739509</v>
      </c>
      <c r="DO171" s="199">
        <f t="shared" si="510"/>
        <v>2.739509</v>
      </c>
      <c r="DP171" s="199">
        <f t="shared" si="511"/>
        <v>2.739509</v>
      </c>
      <c r="DQ171" s="310">
        <f t="shared" si="512"/>
        <v>2.739509</v>
      </c>
      <c r="DR171" s="200">
        <f t="shared" si="513"/>
        <v>2.739509</v>
      </c>
      <c r="DS171" s="199">
        <f t="shared" si="514"/>
        <v>2.739509</v>
      </c>
      <c r="DT171" s="199">
        <f t="shared" si="515"/>
        <v>2.739509</v>
      </c>
      <c r="DU171" s="199">
        <f t="shared" si="516"/>
        <v>2.739509</v>
      </c>
      <c r="DV171" s="199">
        <f t="shared" si="517"/>
        <v>2.739509</v>
      </c>
      <c r="DW171" s="199">
        <f t="shared" si="518"/>
        <v>2.739509</v>
      </c>
      <c r="DX171" s="199">
        <f t="shared" si="519"/>
        <v>2.739509</v>
      </c>
      <c r="DY171" s="199">
        <f t="shared" si="520"/>
        <v>2.739509</v>
      </c>
      <c r="DZ171" s="199">
        <f t="shared" si="521"/>
        <v>2.739509</v>
      </c>
      <c r="EA171" s="199">
        <f t="shared" si="522"/>
        <v>2.739509</v>
      </c>
      <c r="EB171" s="199">
        <f t="shared" si="523"/>
        <v>2.739509</v>
      </c>
      <c r="EC171" s="310">
        <f t="shared" si="524"/>
        <v>2.739509</v>
      </c>
      <c r="ED171" s="293"/>
      <c r="EE171" s="32"/>
    </row>
    <row r="172" spans="1:135">
      <c r="A172" s="129" t="s">
        <v>1552</v>
      </c>
      <c r="B172" s="280"/>
      <c r="N172" s="131">
        <f t="shared" ref="N172:AD172" si="544">SUM(N166:N171)</f>
        <v>0</v>
      </c>
      <c r="O172" s="131">
        <f t="shared" si="544"/>
        <v>0</v>
      </c>
      <c r="P172" s="131">
        <f t="shared" si="544"/>
        <v>0</v>
      </c>
      <c r="Q172" s="131">
        <f t="shared" si="544"/>
        <v>0</v>
      </c>
      <c r="R172" s="131">
        <f t="shared" si="544"/>
        <v>0</v>
      </c>
      <c r="S172" s="131">
        <f t="shared" si="544"/>
        <v>0</v>
      </c>
      <c r="T172" s="131">
        <f t="shared" si="544"/>
        <v>0</v>
      </c>
      <c r="U172" s="131">
        <f t="shared" si="544"/>
        <v>0</v>
      </c>
      <c r="V172" s="131">
        <f t="shared" si="544"/>
        <v>0</v>
      </c>
      <c r="W172" s="131">
        <f t="shared" si="544"/>
        <v>3.0234040000000002</v>
      </c>
      <c r="X172" s="131">
        <f t="shared" si="544"/>
        <v>16.699252700000002</v>
      </c>
      <c r="Y172" s="131">
        <f t="shared" si="544"/>
        <v>55.5377127</v>
      </c>
      <c r="Z172" s="201">
        <f t="shared" si="544"/>
        <v>64.290244699999988</v>
      </c>
      <c r="AA172" s="131">
        <f t="shared" si="544"/>
        <v>78.621339699999993</v>
      </c>
      <c r="AB172" s="131">
        <f t="shared" si="544"/>
        <v>88.35575695</v>
      </c>
      <c r="AC172" s="131">
        <f t="shared" si="544"/>
        <v>88.922043950000003</v>
      </c>
      <c r="AD172" s="131">
        <f t="shared" si="544"/>
        <v>93.702769950000004</v>
      </c>
      <c r="AE172" s="131">
        <f>SUM(AE166:AE171)</f>
        <v>105.71191879574</v>
      </c>
      <c r="AF172" s="131">
        <f t="shared" ref="AF172:AW172" si="545">SUM(AF166:AF171)</f>
        <v>123.18126804574</v>
      </c>
      <c r="AG172" s="131">
        <f t="shared" si="545"/>
        <v>124.14441204574</v>
      </c>
      <c r="AH172" s="131">
        <f t="shared" si="545"/>
        <v>128.95919464073998</v>
      </c>
      <c r="AI172" s="131">
        <f t="shared" si="545"/>
        <v>142.57368799724</v>
      </c>
      <c r="AJ172" s="131">
        <f t="shared" si="545"/>
        <v>148.37210000623998</v>
      </c>
      <c r="AK172" s="312">
        <f t="shared" si="545"/>
        <v>158.27977000623997</v>
      </c>
      <c r="AL172" s="201">
        <f t="shared" si="545"/>
        <v>187.08713860623999</v>
      </c>
      <c r="AM172" s="131">
        <f t="shared" si="545"/>
        <v>209.45434860623996</v>
      </c>
      <c r="AN172" s="131">
        <f t="shared" si="545"/>
        <v>242.68688790623992</v>
      </c>
      <c r="AO172" s="131">
        <f t="shared" si="545"/>
        <v>248.19564790623997</v>
      </c>
      <c r="AP172" s="131">
        <f t="shared" si="545"/>
        <v>257.73840106623993</v>
      </c>
      <c r="AQ172" s="131">
        <f t="shared" si="545"/>
        <v>268.53332406623997</v>
      </c>
      <c r="AR172" s="131">
        <f t="shared" si="545"/>
        <v>278.67125006623996</v>
      </c>
      <c r="AS172" s="131">
        <f t="shared" si="545"/>
        <v>292.65159906623995</v>
      </c>
      <c r="AT172" s="131">
        <f t="shared" si="545"/>
        <v>307.86353765623994</v>
      </c>
      <c r="AU172" s="131">
        <f t="shared" si="545"/>
        <v>309.02258065624</v>
      </c>
      <c r="AV172" s="131">
        <f t="shared" si="545"/>
        <v>311.93108865623998</v>
      </c>
      <c r="AW172" s="238">
        <f t="shared" si="545"/>
        <v>314.58018865624001</v>
      </c>
      <c r="AX172" s="205">
        <f t="shared" ref="AX172:BU172" si="546">SUM(AX166:AX171)</f>
        <v>314.58018865624001</v>
      </c>
      <c r="AY172" s="205">
        <f t="shared" si="546"/>
        <v>315.99926965624002</v>
      </c>
      <c r="AZ172" s="205">
        <f t="shared" si="546"/>
        <v>317.09324215623997</v>
      </c>
      <c r="BA172" s="205">
        <f t="shared" si="546"/>
        <v>319.02150745524</v>
      </c>
      <c r="BB172" s="205">
        <f t="shared" si="546"/>
        <v>322.57395945524001</v>
      </c>
      <c r="BC172" s="205">
        <f t="shared" si="546"/>
        <v>327.03938945523998</v>
      </c>
      <c r="BD172" s="205">
        <f t="shared" si="546"/>
        <v>336.52227398523996</v>
      </c>
      <c r="BE172" s="205">
        <f t="shared" si="546"/>
        <v>348.06835898523991</v>
      </c>
      <c r="BF172" s="205">
        <f t="shared" si="546"/>
        <v>354.76103898523996</v>
      </c>
      <c r="BG172" s="205">
        <f t="shared" si="546"/>
        <v>359.90146468923996</v>
      </c>
      <c r="BH172" s="205">
        <f t="shared" si="546"/>
        <v>369.68833843924</v>
      </c>
      <c r="BI172" s="205">
        <f t="shared" si="546"/>
        <v>374.80619043923997</v>
      </c>
      <c r="BJ172" s="411">
        <f t="shared" si="546"/>
        <v>382.05980843924004</v>
      </c>
      <c r="BK172" s="205">
        <f t="shared" si="546"/>
        <v>388.02877788123999</v>
      </c>
      <c r="BL172" s="205">
        <f t="shared" si="546"/>
        <v>388.73174788123998</v>
      </c>
      <c r="BM172" s="205">
        <f t="shared" si="546"/>
        <v>393.27321088124</v>
      </c>
      <c r="BN172" s="205">
        <f t="shared" si="546"/>
        <v>400.80981388123996</v>
      </c>
      <c r="BO172" s="205">
        <f t="shared" si="546"/>
        <v>416.46140148123999</v>
      </c>
      <c r="BP172" s="205">
        <f t="shared" si="546"/>
        <v>420.29708848124</v>
      </c>
      <c r="BQ172" s="205">
        <f t="shared" si="546"/>
        <v>430.36190548124</v>
      </c>
      <c r="BR172" s="205">
        <f t="shared" si="546"/>
        <v>435.13658548123993</v>
      </c>
      <c r="BS172" s="205">
        <f t="shared" si="546"/>
        <v>438.60012219224001</v>
      </c>
      <c r="BT172" s="205">
        <f t="shared" si="546"/>
        <v>443.63231919224</v>
      </c>
      <c r="BU172" s="238">
        <f t="shared" si="546"/>
        <v>454.11215819223997</v>
      </c>
      <c r="BV172" s="411">
        <f t="shared" ref="BV172:CG172" si="547">SUM(BV166:BV171)</f>
        <v>457.01533219223995</v>
      </c>
      <c r="BW172" s="205">
        <f t="shared" si="547"/>
        <v>459.97315239223991</v>
      </c>
      <c r="BX172" s="205">
        <f t="shared" si="547"/>
        <v>476.77106339223997</v>
      </c>
      <c r="BY172" s="205">
        <f t="shared" si="547"/>
        <v>481.71356039224003</v>
      </c>
      <c r="BZ172" s="205">
        <f t="shared" si="547"/>
        <v>497.71915089223995</v>
      </c>
      <c r="CA172" s="205">
        <f t="shared" si="547"/>
        <v>500.49314833123998</v>
      </c>
      <c r="CB172" s="205">
        <f t="shared" si="547"/>
        <v>517.91379533123995</v>
      </c>
      <c r="CC172" s="205">
        <f t="shared" si="547"/>
        <v>530.75858133123995</v>
      </c>
      <c r="CD172" s="205">
        <f t="shared" si="547"/>
        <v>550.91209433123993</v>
      </c>
      <c r="CE172" s="205">
        <f t="shared" si="547"/>
        <v>585.65093592123992</v>
      </c>
      <c r="CF172" s="205">
        <f t="shared" si="547"/>
        <v>609.00623542123992</v>
      </c>
      <c r="CG172" s="205">
        <f t="shared" si="547"/>
        <v>644.38027259523994</v>
      </c>
      <c r="CH172" s="411">
        <f t="shared" ref="CH172:CS172" si="548">SUM(CH166:CH171)</f>
        <v>663.81018159523978</v>
      </c>
      <c r="CI172" s="205">
        <f t="shared" si="548"/>
        <v>664.75993178423982</v>
      </c>
      <c r="CJ172" s="205">
        <f t="shared" si="548"/>
        <v>722.44169385223995</v>
      </c>
      <c r="CK172" s="205">
        <f t="shared" si="548"/>
        <v>730.63979885223989</v>
      </c>
      <c r="CL172" s="205">
        <f t="shared" si="548"/>
        <v>741.59480535223975</v>
      </c>
      <c r="CM172" s="205">
        <f t="shared" si="548"/>
        <v>749.32888135223993</v>
      </c>
      <c r="CN172" s="205">
        <f t="shared" si="548"/>
        <v>859.35228935223995</v>
      </c>
      <c r="CO172" s="205">
        <f t="shared" si="548"/>
        <v>903.70669135223989</v>
      </c>
      <c r="CP172" s="205">
        <f t="shared" si="548"/>
        <v>917.35204835223999</v>
      </c>
      <c r="CQ172" s="205">
        <f t="shared" si="548"/>
        <v>1026.8920477522399</v>
      </c>
      <c r="CR172" s="205">
        <f t="shared" si="548"/>
        <v>1121.8146367522399</v>
      </c>
      <c r="CS172" s="238">
        <f t="shared" si="548"/>
        <v>1349.2742667522402</v>
      </c>
      <c r="CT172" s="411">
        <f t="shared" ref="CT172:DE172" si="549">SUM(CT166:CT171)</f>
        <v>1358.6794987522401</v>
      </c>
      <c r="CU172" s="205">
        <f t="shared" si="549"/>
        <v>1358.9385967522401</v>
      </c>
      <c r="CV172" s="205">
        <f t="shared" si="549"/>
        <v>1358.9385967522401</v>
      </c>
      <c r="CW172" s="205">
        <f t="shared" si="549"/>
        <v>1366.77877275224</v>
      </c>
      <c r="CX172" s="205">
        <f t="shared" si="549"/>
        <v>1366.77877275224</v>
      </c>
      <c r="CY172" s="205">
        <f t="shared" si="549"/>
        <v>1366.77877275224</v>
      </c>
      <c r="CZ172" s="205">
        <f t="shared" si="549"/>
        <v>1366.77877275224</v>
      </c>
      <c r="DA172" s="205">
        <f t="shared" si="549"/>
        <v>1369.87239375224</v>
      </c>
      <c r="DB172" s="205">
        <f t="shared" si="549"/>
        <v>1369.87239375224</v>
      </c>
      <c r="DC172" s="205">
        <f t="shared" si="549"/>
        <v>1370.1328037522401</v>
      </c>
      <c r="DD172" s="205">
        <f t="shared" si="549"/>
        <v>1370.1328037522401</v>
      </c>
      <c r="DE172" s="238">
        <f t="shared" si="549"/>
        <v>1374.10991875224</v>
      </c>
      <c r="DF172" s="411">
        <f t="shared" ref="DF172:DQ172" si="550">SUM(DF166:DF171)</f>
        <v>1374.10991875224</v>
      </c>
      <c r="DG172" s="205">
        <f t="shared" si="550"/>
        <v>1374.10991875224</v>
      </c>
      <c r="DH172" s="205">
        <f t="shared" si="550"/>
        <v>1374.10991875224</v>
      </c>
      <c r="DI172" s="205">
        <f t="shared" si="550"/>
        <v>1374.10991875224</v>
      </c>
      <c r="DJ172" s="205">
        <f t="shared" si="550"/>
        <v>1374.10991875224</v>
      </c>
      <c r="DK172" s="205">
        <f t="shared" si="550"/>
        <v>1374.10991875224</v>
      </c>
      <c r="DL172" s="205">
        <f t="shared" si="550"/>
        <v>1374.10991875224</v>
      </c>
      <c r="DM172" s="205">
        <f t="shared" si="550"/>
        <v>1374.10991875224</v>
      </c>
      <c r="DN172" s="205">
        <f t="shared" si="550"/>
        <v>1374.10991875224</v>
      </c>
      <c r="DO172" s="205">
        <f t="shared" si="550"/>
        <v>1374.10991875224</v>
      </c>
      <c r="DP172" s="205">
        <f t="shared" si="550"/>
        <v>1374.10991875224</v>
      </c>
      <c r="DQ172" s="238">
        <f t="shared" si="550"/>
        <v>1374.10991875224</v>
      </c>
      <c r="DR172" s="411">
        <f t="shared" ref="DR172:EC172" si="551">SUM(DR166:DR171)</f>
        <v>1374.10991875224</v>
      </c>
      <c r="DS172" s="205">
        <f t="shared" si="551"/>
        <v>1374.10991875224</v>
      </c>
      <c r="DT172" s="205">
        <f t="shared" si="551"/>
        <v>1374.10991875224</v>
      </c>
      <c r="DU172" s="205">
        <f t="shared" si="551"/>
        <v>1374.10991875224</v>
      </c>
      <c r="DV172" s="205">
        <f t="shared" si="551"/>
        <v>1374.10991875224</v>
      </c>
      <c r="DW172" s="205">
        <f t="shared" si="551"/>
        <v>1374.10991875224</v>
      </c>
      <c r="DX172" s="205">
        <f t="shared" si="551"/>
        <v>1374.10991875224</v>
      </c>
      <c r="DY172" s="205">
        <f t="shared" si="551"/>
        <v>1374.10991875224</v>
      </c>
      <c r="DZ172" s="205">
        <f t="shared" si="551"/>
        <v>1374.10991875224</v>
      </c>
      <c r="EA172" s="205">
        <f t="shared" si="551"/>
        <v>1374.10991875224</v>
      </c>
      <c r="EB172" s="205">
        <f t="shared" si="551"/>
        <v>1374.10991875224</v>
      </c>
      <c r="EC172" s="238">
        <f t="shared" si="551"/>
        <v>1374.10991875224</v>
      </c>
      <c r="ED172" s="280"/>
    </row>
    <row r="174" spans="1:135">
      <c r="N174" s="203"/>
      <c r="O174" s="203"/>
      <c r="P174" s="203"/>
      <c r="Q174" s="203"/>
      <c r="R174" s="203"/>
      <c r="S174" s="203"/>
      <c r="T174" s="203"/>
      <c r="U174" s="203"/>
      <c r="V174" s="203"/>
      <c r="W174" s="203"/>
      <c r="X174" s="203"/>
      <c r="Y174" s="203"/>
      <c r="Z174" s="203"/>
      <c r="AA174" s="203"/>
      <c r="AB174" s="203"/>
      <c r="AC174" s="203"/>
      <c r="AD174" s="203"/>
      <c r="AE174" s="203"/>
      <c r="AF174" s="203"/>
      <c r="AG174" s="203"/>
      <c r="AH174" s="203"/>
      <c r="AI174" s="203"/>
      <c r="AJ174" s="203"/>
      <c r="AK174" s="203"/>
      <c r="AL174" s="203"/>
      <c r="AM174" s="203"/>
      <c r="AN174" s="203"/>
      <c r="AO174" s="203"/>
      <c r="AP174" s="203"/>
      <c r="AQ174" s="203"/>
      <c r="AR174" s="203"/>
      <c r="AS174" s="203"/>
      <c r="AT174" s="203"/>
      <c r="AY174" s="203"/>
    </row>
    <row r="175" spans="1:135">
      <c r="O175" s="203"/>
      <c r="P175" s="203"/>
      <c r="Q175" s="203"/>
      <c r="R175" s="203"/>
      <c r="S175" s="203"/>
      <c r="T175" s="203"/>
      <c r="U175" s="203"/>
      <c r="V175" s="203"/>
      <c r="W175" s="203"/>
      <c r="X175" s="203"/>
      <c r="Y175" s="203"/>
      <c r="Z175" s="203"/>
      <c r="AA175" s="203"/>
      <c r="AB175" s="203"/>
      <c r="AC175" s="203"/>
      <c r="AD175" s="203"/>
      <c r="AE175" s="203"/>
      <c r="AF175" s="203"/>
      <c r="AG175" s="203"/>
      <c r="AH175" s="203"/>
      <c r="AI175" s="203"/>
      <c r="AJ175" s="203"/>
      <c r="AK175" s="203"/>
      <c r="AL175" s="203"/>
      <c r="AM175" s="203"/>
      <c r="AN175" s="203"/>
      <c r="AO175" s="203"/>
      <c r="AP175" s="203"/>
      <c r="AQ175" s="203"/>
      <c r="AR175" s="203"/>
      <c r="AS175" s="203"/>
      <c r="AT175" s="203"/>
      <c r="AU175" s="203"/>
      <c r="AV175" s="203"/>
      <c r="AW175" s="203"/>
      <c r="AX175" s="203"/>
      <c r="AY175" s="32"/>
      <c r="AZ175" s="203"/>
    </row>
    <row r="177" spans="1:97">
      <c r="A177" s="99"/>
      <c r="B177" s="130"/>
      <c r="N177" s="364">
        <v>39814</v>
      </c>
      <c r="O177" s="176">
        <v>39845</v>
      </c>
      <c r="P177" s="176">
        <v>39873</v>
      </c>
      <c r="Q177" s="176">
        <v>39904</v>
      </c>
      <c r="R177" s="176">
        <v>39934</v>
      </c>
      <c r="S177" s="176">
        <v>39965</v>
      </c>
      <c r="T177" s="176">
        <v>39995</v>
      </c>
      <c r="U177" s="176">
        <v>40026</v>
      </c>
      <c r="V177" s="176">
        <v>40057</v>
      </c>
      <c r="W177" s="176">
        <v>40087</v>
      </c>
      <c r="X177" s="176">
        <v>40118</v>
      </c>
      <c r="Y177" s="365">
        <v>40148</v>
      </c>
      <c r="Z177" s="364">
        <v>40179</v>
      </c>
      <c r="AA177" s="176">
        <v>40210</v>
      </c>
      <c r="AB177" s="176">
        <v>40238</v>
      </c>
      <c r="AC177" s="176">
        <v>40269</v>
      </c>
      <c r="AD177" s="176">
        <v>40299</v>
      </c>
      <c r="AE177" s="176">
        <v>40330</v>
      </c>
      <c r="AF177" s="176">
        <v>40360</v>
      </c>
      <c r="AG177" s="176">
        <v>40391</v>
      </c>
      <c r="AH177" s="176">
        <v>40422</v>
      </c>
      <c r="AI177" s="176">
        <v>40452</v>
      </c>
      <c r="AJ177" s="176">
        <v>40483</v>
      </c>
      <c r="AK177" s="365">
        <v>40513</v>
      </c>
      <c r="AL177" s="364">
        <v>40544</v>
      </c>
      <c r="AM177" s="176">
        <v>40575</v>
      </c>
      <c r="AN177" s="176">
        <v>40603</v>
      </c>
      <c r="AO177" s="176">
        <v>40634</v>
      </c>
      <c r="AP177" s="176">
        <v>40664</v>
      </c>
      <c r="AQ177" s="176">
        <v>40695</v>
      </c>
      <c r="AR177" s="176">
        <v>40725</v>
      </c>
      <c r="AS177" s="176">
        <v>40756</v>
      </c>
      <c r="AT177" s="176">
        <v>40787</v>
      </c>
      <c r="AU177" s="176">
        <v>40817</v>
      </c>
      <c r="AV177" s="176">
        <v>40848</v>
      </c>
      <c r="AW177" s="365">
        <v>40878</v>
      </c>
      <c r="AX177" s="364">
        <v>40909</v>
      </c>
      <c r="AY177" s="176">
        <v>40940</v>
      </c>
      <c r="AZ177" s="176">
        <v>40969</v>
      </c>
      <c r="BA177" s="176">
        <v>41000</v>
      </c>
      <c r="BB177" s="176">
        <v>41030</v>
      </c>
      <c r="BC177" s="176">
        <v>41061</v>
      </c>
      <c r="BD177" s="176">
        <v>41091</v>
      </c>
      <c r="BE177" s="176">
        <v>41122</v>
      </c>
      <c r="BF177" s="176">
        <v>41153</v>
      </c>
      <c r="BG177" s="176">
        <v>41183</v>
      </c>
      <c r="BH177" s="176">
        <v>41214</v>
      </c>
      <c r="BI177" s="365">
        <v>41244</v>
      </c>
      <c r="BJ177" s="918">
        <v>41275</v>
      </c>
      <c r="BK177" s="919">
        <v>41306</v>
      </c>
      <c r="BL177" s="919">
        <v>41334</v>
      </c>
      <c r="BM177" s="919">
        <v>41365</v>
      </c>
      <c r="BN177" s="919">
        <v>41395</v>
      </c>
      <c r="BO177" s="919">
        <v>41426</v>
      </c>
      <c r="BP177" s="919">
        <v>41456</v>
      </c>
      <c r="BQ177" s="919">
        <v>41487</v>
      </c>
      <c r="BR177" s="919">
        <v>41518</v>
      </c>
      <c r="BS177" s="919">
        <v>41548</v>
      </c>
      <c r="BT177" s="919">
        <v>41579</v>
      </c>
      <c r="BU177" s="920">
        <v>41609</v>
      </c>
      <c r="BV177" s="918">
        <v>41640</v>
      </c>
      <c r="BW177" s="919">
        <v>41671</v>
      </c>
      <c r="BX177" s="919">
        <v>41699</v>
      </c>
      <c r="BY177" s="919">
        <v>41730</v>
      </c>
      <c r="BZ177" s="919">
        <v>41760</v>
      </c>
      <c r="CA177" s="919">
        <v>41791</v>
      </c>
      <c r="CB177" s="919">
        <v>41821</v>
      </c>
      <c r="CC177" s="919">
        <v>41852</v>
      </c>
      <c r="CD177" s="919">
        <v>41883</v>
      </c>
      <c r="CE177" s="919">
        <v>41913</v>
      </c>
      <c r="CF177" s="919">
        <v>41944</v>
      </c>
      <c r="CG177" s="920">
        <v>41974</v>
      </c>
      <c r="CH177" s="921">
        <v>42005</v>
      </c>
      <c r="CI177" s="922">
        <v>42036</v>
      </c>
      <c r="CJ177" s="922">
        <v>42064</v>
      </c>
      <c r="CK177" s="922">
        <v>42095</v>
      </c>
      <c r="CL177" s="922">
        <v>42125</v>
      </c>
      <c r="CM177" s="922">
        <v>42156</v>
      </c>
      <c r="CN177" s="922">
        <v>42186</v>
      </c>
      <c r="CO177" s="922">
        <v>42217</v>
      </c>
      <c r="CP177" s="922">
        <v>42248</v>
      </c>
      <c r="CQ177" s="922">
        <v>42278</v>
      </c>
      <c r="CR177" s="922">
        <v>42309</v>
      </c>
      <c r="CS177" s="923">
        <v>42339</v>
      </c>
    </row>
    <row r="178" spans="1:97">
      <c r="A178" s="74" t="s">
        <v>2400</v>
      </c>
      <c r="B178" s="11" t="s">
        <v>2401</v>
      </c>
      <c r="C178" s="1"/>
      <c r="D178" s="1"/>
      <c r="E178" s="1"/>
      <c r="F178" s="1"/>
      <c r="G178" s="1"/>
      <c r="H178" s="1"/>
      <c r="I178" s="1"/>
      <c r="J178" s="1"/>
      <c r="K178" s="1"/>
      <c r="L178" s="1"/>
      <c r="M178" s="1"/>
      <c r="N178" s="536">
        <v>0</v>
      </c>
      <c r="O178" s="537">
        <v>0</v>
      </c>
      <c r="P178" s="537">
        <v>0.33100000000000002</v>
      </c>
      <c r="Q178" s="537">
        <v>0.65100000000000002</v>
      </c>
      <c r="R178" s="537">
        <v>1.0669999999999999</v>
      </c>
      <c r="S178" s="537">
        <v>1.1679999999999999</v>
      </c>
      <c r="T178" s="537">
        <v>1.1679999999999999</v>
      </c>
      <c r="U178" s="537">
        <v>1.1679999999999999</v>
      </c>
      <c r="V178" s="537">
        <v>2.105</v>
      </c>
      <c r="W178" s="537">
        <v>2.923</v>
      </c>
      <c r="X178" s="537">
        <v>3.8849999999999998</v>
      </c>
      <c r="Y178" s="538">
        <v>4.5979999999999999</v>
      </c>
      <c r="Z178" s="536">
        <v>5.1980000000000004</v>
      </c>
      <c r="AA178" s="537">
        <v>5.7160000000000002</v>
      </c>
      <c r="AB178" s="537">
        <v>5.7160000000000002</v>
      </c>
      <c r="AC178" s="537">
        <v>5.7160000000000002</v>
      </c>
      <c r="AD178" s="537">
        <v>7.36</v>
      </c>
      <c r="AE178" s="537">
        <v>9.7159999999999993</v>
      </c>
      <c r="AF178" s="537">
        <v>9.7159999999999993</v>
      </c>
      <c r="AG178" s="537">
        <v>9.7919999999999998</v>
      </c>
      <c r="AH178" s="537">
        <v>10.702</v>
      </c>
      <c r="AI178" s="537">
        <v>20.754000000000001</v>
      </c>
      <c r="AJ178" s="537">
        <f t="shared" ref="AJ178:AM178" si="552">SUM(AJ179:AJ180)</f>
        <v>20.753999999999998</v>
      </c>
      <c r="AK178" s="538">
        <f t="shared" si="552"/>
        <v>20.753999999999998</v>
      </c>
      <c r="AL178" s="536">
        <f t="shared" si="552"/>
        <v>28.874000000000002</v>
      </c>
      <c r="AM178" s="537">
        <f t="shared" si="552"/>
        <v>29.631</v>
      </c>
      <c r="AN178" s="537">
        <f t="shared" ref="AN178:BI178" si="553">SUM(AN179:AN180)</f>
        <v>35.088999999999999</v>
      </c>
      <c r="AO178" s="537">
        <f t="shared" si="553"/>
        <v>36.402000000000001</v>
      </c>
      <c r="AP178" s="537">
        <f t="shared" si="553"/>
        <v>36.900999999999996</v>
      </c>
      <c r="AQ178" s="537">
        <f t="shared" si="553"/>
        <v>41.348999999999997</v>
      </c>
      <c r="AR178" s="537">
        <f t="shared" si="553"/>
        <v>46.536000000000001</v>
      </c>
      <c r="AS178" s="537">
        <f t="shared" si="553"/>
        <v>53.281999999999996</v>
      </c>
      <c r="AT178" s="537">
        <f t="shared" si="553"/>
        <v>60.256</v>
      </c>
      <c r="AU178" s="537">
        <f t="shared" si="553"/>
        <v>87.048000000000002</v>
      </c>
      <c r="AV178" s="537">
        <f t="shared" si="553"/>
        <v>105.718</v>
      </c>
      <c r="AW178" s="538">
        <f t="shared" si="553"/>
        <v>108.376</v>
      </c>
      <c r="AX178" s="536">
        <f t="shared" si="553"/>
        <v>118.839</v>
      </c>
      <c r="AY178" s="155">
        <f t="shared" si="553"/>
        <v>119.2</v>
      </c>
      <c r="AZ178" s="537">
        <f t="shared" si="553"/>
        <v>130.15800000000002</v>
      </c>
      <c r="BA178" s="537">
        <f t="shared" si="553"/>
        <v>143.46100000000001</v>
      </c>
      <c r="BB178" s="155">
        <f t="shared" si="553"/>
        <v>167.92500000000001</v>
      </c>
      <c r="BC178" s="537">
        <f t="shared" si="553"/>
        <v>169.53200000000001</v>
      </c>
      <c r="BD178" s="537">
        <f t="shared" si="553"/>
        <v>174.34199999999998</v>
      </c>
      <c r="BE178" s="537">
        <f>SUM(BE179:BE180)</f>
        <v>225.078</v>
      </c>
      <c r="BF178" s="155">
        <f t="shared" si="553"/>
        <v>233.08151089</v>
      </c>
      <c r="BG178" s="537">
        <f t="shared" si="553"/>
        <v>252.08499999999998</v>
      </c>
      <c r="BH178" s="537">
        <f t="shared" si="553"/>
        <v>253.18736199999998</v>
      </c>
      <c r="BI178" s="538">
        <f t="shared" si="553"/>
        <v>385.69136199999997</v>
      </c>
      <c r="BJ178" s="536">
        <f t="shared" ref="BJ178:BP178" si="554">SUM(BJ179:BJ180)</f>
        <v>587.20836200000008</v>
      </c>
      <c r="BK178" s="155">
        <f t="shared" si="554"/>
        <v>622.64536199999998</v>
      </c>
      <c r="BL178" s="537">
        <f t="shared" si="554"/>
        <v>674.24736200000007</v>
      </c>
      <c r="BM178" s="537">
        <f t="shared" si="554"/>
        <v>732.72036200000002</v>
      </c>
      <c r="BN178" s="537">
        <f t="shared" si="554"/>
        <v>738.37736200000006</v>
      </c>
      <c r="BO178" s="537">
        <f t="shared" si="554"/>
        <v>781.3827500000001</v>
      </c>
      <c r="BP178" s="537">
        <f t="shared" si="554"/>
        <v>781.61836200000005</v>
      </c>
      <c r="BQ178" s="537">
        <f>SUM(BQ179:BQ180)</f>
        <v>809.79136200000005</v>
      </c>
      <c r="BR178" s="155">
        <f t="shared" ref="BR178:BX178" si="555">SUM(BR179:BR180)</f>
        <v>826.62636199999997</v>
      </c>
      <c r="BS178" s="537">
        <f t="shared" si="555"/>
        <v>827.76336200000003</v>
      </c>
      <c r="BT178" s="537">
        <f t="shared" si="555"/>
        <v>828.870362</v>
      </c>
      <c r="BU178" s="538">
        <f t="shared" si="555"/>
        <v>829.04636200000004</v>
      </c>
      <c r="BV178" s="536">
        <f t="shared" si="555"/>
        <v>829.15736200000003</v>
      </c>
      <c r="BW178" s="155">
        <f t="shared" si="555"/>
        <v>834.93636200000003</v>
      </c>
      <c r="BX178" s="155">
        <f t="shared" si="555"/>
        <v>841.46436200000005</v>
      </c>
      <c r="BY178" s="155">
        <f t="shared" ref="BY178:BZ178" si="556">SUM(BY179:BY180)</f>
        <v>849.47336200000007</v>
      </c>
      <c r="BZ178" s="537">
        <f t="shared" si="556"/>
        <v>849.53036199999997</v>
      </c>
      <c r="CA178" s="537">
        <f t="shared" ref="CA178:CB178" si="557">SUM(CA179:CA180)</f>
        <v>849.53036199999997</v>
      </c>
      <c r="CB178" s="537">
        <f t="shared" si="557"/>
        <v>849.53036199999997</v>
      </c>
      <c r="CC178" s="537">
        <f t="shared" ref="CC178" si="558">SUM(CC179:CC180)</f>
        <v>849.90636200000006</v>
      </c>
      <c r="CD178" s="155">
        <f t="shared" ref="CD178:CG178" si="559">SUM(CD179:CD180)</f>
        <v>849.90636200000006</v>
      </c>
      <c r="CE178" s="537">
        <f t="shared" si="559"/>
        <v>849.90636200000006</v>
      </c>
      <c r="CF178" s="537">
        <f t="shared" si="559"/>
        <v>849.90636200000006</v>
      </c>
      <c r="CG178" s="537">
        <f t="shared" si="559"/>
        <v>863.51122916499992</v>
      </c>
      <c r="CH178" s="536">
        <f t="shared" ref="CH178:CJ178" si="560">SUM(CH179:CH180)</f>
        <v>863.51122916499992</v>
      </c>
      <c r="CI178" s="537">
        <f t="shared" si="560"/>
        <v>863.51122916499992</v>
      </c>
      <c r="CJ178" s="537">
        <f t="shared" si="560"/>
        <v>863.51122916499992</v>
      </c>
      <c r="CK178" s="155"/>
      <c r="CL178" s="537"/>
      <c r="CM178" s="537"/>
      <c r="CN178" s="537"/>
      <c r="CO178" s="537"/>
      <c r="CP178" s="155"/>
      <c r="CQ178" s="537"/>
      <c r="CR178" s="537"/>
      <c r="CS178" s="538"/>
    </row>
    <row r="179" spans="1:97">
      <c r="A179" s="19" t="s">
        <v>1226</v>
      </c>
      <c r="B179" s="12" t="s">
        <v>2401</v>
      </c>
      <c r="N179" s="200">
        <v>0</v>
      </c>
      <c r="O179" s="199">
        <v>0</v>
      </c>
      <c r="P179" s="199">
        <v>0</v>
      </c>
      <c r="Q179" s="199">
        <v>0</v>
      </c>
      <c r="R179" s="199">
        <v>0.41599999999999998</v>
      </c>
      <c r="S179" s="199">
        <v>0.51700000000000002</v>
      </c>
      <c r="T179" s="199">
        <v>0.51700000000000002</v>
      </c>
      <c r="U179" s="199">
        <v>0.51700000000000002</v>
      </c>
      <c r="V179" s="199">
        <v>1.454</v>
      </c>
      <c r="W179" s="199">
        <v>2.2448000000000001</v>
      </c>
      <c r="X179" s="199">
        <v>3.1070000000000002</v>
      </c>
      <c r="Y179" s="310">
        <v>3.1739999999999999</v>
      </c>
      <c r="Z179" s="200">
        <v>3.7679999999999998</v>
      </c>
      <c r="AA179" s="199">
        <v>3.8839999999999999</v>
      </c>
      <c r="AB179" s="199">
        <v>3.8839999999999999</v>
      </c>
      <c r="AC179" s="199">
        <v>3.8839999999999999</v>
      </c>
      <c r="AD179" s="199">
        <v>5.5279999999999996</v>
      </c>
      <c r="AE179" s="199">
        <v>6.1390000000000002</v>
      </c>
      <c r="AF179" s="199">
        <v>6.1390000000000002</v>
      </c>
      <c r="AG179" s="199">
        <v>6.1390000000000002</v>
      </c>
      <c r="AH179" s="199">
        <v>6.5140000000000002</v>
      </c>
      <c r="AI179" s="199">
        <v>16.565999999999999</v>
      </c>
      <c r="AJ179" s="199">
        <v>16.565999999999999</v>
      </c>
      <c r="AK179" s="310">
        <v>16.565999999999999</v>
      </c>
      <c r="AL179" s="200">
        <v>24.14</v>
      </c>
      <c r="AM179" s="199">
        <v>24.896999999999998</v>
      </c>
      <c r="AN179" s="199">
        <v>26.786000000000001</v>
      </c>
      <c r="AO179" s="199">
        <v>27.908000000000001</v>
      </c>
      <c r="AP179" s="199">
        <v>28.259</v>
      </c>
      <c r="AQ179" s="457">
        <f>32.204+0.022</f>
        <v>32.225999999999999</v>
      </c>
      <c r="AR179" s="199">
        <f>36.929+0.022</f>
        <v>36.951000000000001</v>
      </c>
      <c r="AS179" s="199">
        <f>43.293+0.022</f>
        <v>43.314999999999998</v>
      </c>
      <c r="AT179" s="199">
        <v>50.289000000000001</v>
      </c>
      <c r="AU179" s="199">
        <f>79.323-2.448</f>
        <v>76.875</v>
      </c>
      <c r="AV179" s="199">
        <v>95.527000000000001</v>
      </c>
      <c r="AW179" s="310">
        <v>96.763000000000005</v>
      </c>
      <c r="AX179" s="200">
        <v>106.161</v>
      </c>
      <c r="AY179" s="840">
        <v>106.52200000000001</v>
      </c>
      <c r="AZ179" s="840">
        <v>114.158</v>
      </c>
      <c r="BA179" s="840">
        <f>126.814+0.022</f>
        <v>126.836</v>
      </c>
      <c r="BB179" s="840">
        <v>151.30000000000001</v>
      </c>
      <c r="BC179" s="840">
        <v>152.75</v>
      </c>
      <c r="BD179" s="840">
        <v>157.089</v>
      </c>
      <c r="BE179" s="840">
        <f>204.94+0.022+1.271274</f>
        <v>206.23327399999999</v>
      </c>
      <c r="BF179" s="199">
        <f>212.71086889+0.046+1.271274</f>
        <v>214.02814289</v>
      </c>
      <c r="BG179" s="199">
        <f>232.677+0.046</f>
        <v>232.72299999999998</v>
      </c>
      <c r="BH179" s="199">
        <f>233.14+0.046362</f>
        <v>233.18636199999997</v>
      </c>
      <c r="BI179" s="310">
        <f>363.77+0.046362</f>
        <v>363.81636199999997</v>
      </c>
      <c r="BJ179" s="200">
        <f>564.525+0.046362</f>
        <v>564.57136200000002</v>
      </c>
      <c r="BK179" s="840">
        <f>599.919+0.046362</f>
        <v>599.96536200000003</v>
      </c>
      <c r="BL179" s="840">
        <f>651.282+0.046362</f>
        <v>651.32836200000008</v>
      </c>
      <c r="BM179" s="840">
        <f>708.833+0.046362</f>
        <v>708.87936200000001</v>
      </c>
      <c r="BN179" s="840">
        <f>714.479+0.046362</f>
        <v>714.52536200000009</v>
      </c>
      <c r="BO179" s="840">
        <f>756.964+0.046362</f>
        <v>757.0103620000001</v>
      </c>
      <c r="BP179" s="840">
        <f>756.964+0.046362</f>
        <v>757.0103620000001</v>
      </c>
      <c r="BQ179" s="840">
        <f>785.029+0.046362</f>
        <v>785.07536200000004</v>
      </c>
      <c r="BR179" s="199">
        <f>801.468+0.046362</f>
        <v>801.51436200000001</v>
      </c>
      <c r="BS179" s="199">
        <f>802.331+0.046362</f>
        <v>802.37736200000006</v>
      </c>
      <c r="BT179" s="199">
        <f>803.438+0.046362</f>
        <v>803.48436200000003</v>
      </c>
      <c r="BU179" s="310">
        <f>803.614+0.046362</f>
        <v>803.66036200000008</v>
      </c>
      <c r="BV179" s="200">
        <f>803.725+0.046362</f>
        <v>803.77136200000007</v>
      </c>
      <c r="BW179" s="840">
        <f>809.504+0.046362</f>
        <v>809.55036200000006</v>
      </c>
      <c r="BX179" s="840">
        <f>816.032+0.046362</f>
        <v>816.07836200000008</v>
      </c>
      <c r="BY179" s="840">
        <f>824.041+0.046362</f>
        <v>824.0873620000001</v>
      </c>
      <c r="BZ179" s="840">
        <f>824.098+0.046362</f>
        <v>824.144362</v>
      </c>
      <c r="CA179" s="840">
        <f>824.098+0.046362</f>
        <v>824.144362</v>
      </c>
      <c r="CB179" s="840">
        <f>824.098+0.046362</f>
        <v>824.144362</v>
      </c>
      <c r="CC179" s="840">
        <f>824.474+0.046362</f>
        <v>824.52036200000009</v>
      </c>
      <c r="CD179" s="199">
        <f t="shared" ref="CD179:CE179" si="561">824.474+0.046362</f>
        <v>824.52036200000009</v>
      </c>
      <c r="CE179" s="199">
        <f t="shared" si="561"/>
        <v>824.52036200000009</v>
      </c>
      <c r="CF179" s="199">
        <v>824.52036200000009</v>
      </c>
      <c r="CG179" s="199">
        <v>838.12522916499995</v>
      </c>
      <c r="CH179" s="200">
        <v>838.12522916499995</v>
      </c>
      <c r="CI179" s="199">
        <v>838.12522916499995</v>
      </c>
      <c r="CJ179" s="199">
        <v>838.12522916499995</v>
      </c>
      <c r="CK179" s="840"/>
      <c r="CL179" s="840"/>
      <c r="CM179" s="840"/>
      <c r="CN179" s="840"/>
      <c r="CO179" s="840"/>
      <c r="CP179" s="199"/>
      <c r="CQ179" s="199"/>
      <c r="CR179" s="199"/>
      <c r="CS179" s="310"/>
    </row>
    <row r="180" spans="1:97">
      <c r="A180" s="20" t="s">
        <v>1227</v>
      </c>
      <c r="B180" s="13" t="s">
        <v>2401</v>
      </c>
      <c r="N180" s="189">
        <f t="shared" ref="N180" si="562">N178-N179</f>
        <v>0</v>
      </c>
      <c r="O180" s="190">
        <f t="shared" ref="O180:P180" si="563">O178-O179</f>
        <v>0</v>
      </c>
      <c r="P180" s="190">
        <f t="shared" si="563"/>
        <v>0.33100000000000002</v>
      </c>
      <c r="Q180" s="190">
        <f t="shared" ref="Q180" si="564">Q178-Q179</f>
        <v>0.65100000000000002</v>
      </c>
      <c r="R180" s="190">
        <f t="shared" ref="R180" si="565">R178-R179</f>
        <v>0.65100000000000002</v>
      </c>
      <c r="S180" s="190">
        <f t="shared" ref="S180:U180" si="566">S178-S179</f>
        <v>0.65099999999999991</v>
      </c>
      <c r="T180" s="190">
        <f t="shared" si="566"/>
        <v>0.65099999999999991</v>
      </c>
      <c r="U180" s="190">
        <f t="shared" si="566"/>
        <v>0.65099999999999991</v>
      </c>
      <c r="V180" s="190">
        <f t="shared" ref="V180" si="567">V178-V179</f>
        <v>0.65100000000000002</v>
      </c>
      <c r="W180" s="190">
        <f t="shared" ref="W180" si="568">W178-W179</f>
        <v>0.67819999999999991</v>
      </c>
      <c r="X180" s="190">
        <f t="shared" ref="X180" si="569">X178-X179</f>
        <v>0.77799999999999958</v>
      </c>
      <c r="Y180" s="311">
        <f t="shared" ref="Y180" si="570">Y178-Y179</f>
        <v>1.4239999999999999</v>
      </c>
      <c r="Z180" s="189">
        <f t="shared" ref="Z180:AG180" si="571">Z178-Z179</f>
        <v>1.4300000000000006</v>
      </c>
      <c r="AA180" s="190">
        <f t="shared" si="571"/>
        <v>1.8320000000000003</v>
      </c>
      <c r="AB180" s="190">
        <f t="shared" si="571"/>
        <v>1.8320000000000003</v>
      </c>
      <c r="AC180" s="190">
        <f t="shared" si="571"/>
        <v>1.8320000000000003</v>
      </c>
      <c r="AD180" s="190">
        <f t="shared" si="571"/>
        <v>1.8320000000000007</v>
      </c>
      <c r="AE180" s="190">
        <f t="shared" si="571"/>
        <v>3.5769999999999991</v>
      </c>
      <c r="AF180" s="190">
        <f t="shared" si="571"/>
        <v>3.5769999999999991</v>
      </c>
      <c r="AG180" s="190">
        <f t="shared" si="571"/>
        <v>3.6529999999999996</v>
      </c>
      <c r="AH180" s="190">
        <f>AH178-AH179</f>
        <v>4.1879999999999997</v>
      </c>
      <c r="AI180" s="190">
        <f>AI178-AI179</f>
        <v>4.1880000000000024</v>
      </c>
      <c r="AJ180" s="190">
        <v>4.1879999999999997</v>
      </c>
      <c r="AK180" s="311">
        <v>4.1879999999999997</v>
      </c>
      <c r="AL180" s="189">
        <v>4.734</v>
      </c>
      <c r="AM180" s="190">
        <v>4.734</v>
      </c>
      <c r="AN180" s="190">
        <v>8.3030000000000008</v>
      </c>
      <c r="AO180" s="190">
        <v>8.4939999999999998</v>
      </c>
      <c r="AP180" s="190">
        <v>8.6419999999999995</v>
      </c>
      <c r="AQ180" s="190">
        <v>9.1229999999999993</v>
      </c>
      <c r="AR180" s="190">
        <v>9.5850000000000009</v>
      </c>
      <c r="AS180" s="190">
        <v>9.9670000000000005</v>
      </c>
      <c r="AT180" s="190">
        <v>9.9670000000000005</v>
      </c>
      <c r="AU180" s="190">
        <v>10.173</v>
      </c>
      <c r="AV180" s="190">
        <v>10.191000000000001</v>
      </c>
      <c r="AW180" s="311">
        <v>11.613</v>
      </c>
      <c r="AX180" s="189">
        <v>12.678000000000001</v>
      </c>
      <c r="AY180" s="190">
        <v>12.678000000000001</v>
      </c>
      <c r="AZ180" s="190">
        <v>16</v>
      </c>
      <c r="BA180" s="190">
        <v>16.625</v>
      </c>
      <c r="BB180" s="190">
        <v>16.625</v>
      </c>
      <c r="BC180" s="190">
        <f>16.76+0.022</f>
        <v>16.782</v>
      </c>
      <c r="BD180" s="190">
        <v>17.253</v>
      </c>
      <c r="BE180" s="877">
        <f>20.094+0.022-1.271274</f>
        <v>18.844726000000001</v>
      </c>
      <c r="BF180" s="190">
        <f>20.324642-1.271274</f>
        <v>19.053367999999999</v>
      </c>
      <c r="BG180" s="190">
        <v>19.361999999999998</v>
      </c>
      <c r="BH180" s="190">
        <v>20.001000000000001</v>
      </c>
      <c r="BI180" s="311">
        <v>21.875</v>
      </c>
      <c r="BJ180" s="189">
        <v>22.637</v>
      </c>
      <c r="BK180" s="190">
        <v>22.68</v>
      </c>
      <c r="BL180" s="190">
        <v>22.919</v>
      </c>
      <c r="BM180" s="190">
        <v>23.841000000000001</v>
      </c>
      <c r="BN180" s="190">
        <v>23.852</v>
      </c>
      <c r="BO180" s="190">
        <f>BP180-0.235612</f>
        <v>24.372388000000001</v>
      </c>
      <c r="BP180" s="190">
        <v>24.608000000000001</v>
      </c>
      <c r="BQ180" s="877">
        <v>24.716000000000001</v>
      </c>
      <c r="BR180" s="190">
        <v>25.111999999999998</v>
      </c>
      <c r="BS180" s="190">
        <v>25.385999999999999</v>
      </c>
      <c r="BT180" s="190">
        <v>25.385999999999999</v>
      </c>
      <c r="BU180" s="311">
        <v>25.385999999999999</v>
      </c>
      <c r="BV180" s="189">
        <v>25.385999999999999</v>
      </c>
      <c r="BW180" s="190">
        <v>25.385999999999999</v>
      </c>
      <c r="BX180" s="190">
        <v>25.385999999999999</v>
      </c>
      <c r="BY180" s="190">
        <v>25.385999999999999</v>
      </c>
      <c r="BZ180" s="190">
        <v>25.385999999999999</v>
      </c>
      <c r="CA180" s="190">
        <v>25.385999999999999</v>
      </c>
      <c r="CB180" s="190">
        <v>25.385999999999999</v>
      </c>
      <c r="CC180" s="190">
        <v>25.385999999999999</v>
      </c>
      <c r="CD180" s="190">
        <v>25.385999999999999</v>
      </c>
      <c r="CE180" s="190">
        <v>25.385999999999999</v>
      </c>
      <c r="CF180" s="190">
        <v>25.385999999999999</v>
      </c>
      <c r="CG180" s="190">
        <v>25.385999999999999</v>
      </c>
      <c r="CH180" s="200">
        <v>25.385999999999999</v>
      </c>
      <c r="CI180" s="199">
        <v>25.385999999999999</v>
      </c>
      <c r="CJ180" s="199">
        <v>25.385999999999999</v>
      </c>
      <c r="CK180" s="199"/>
      <c r="CL180" s="199"/>
      <c r="CM180" s="199"/>
      <c r="CN180" s="199"/>
      <c r="CO180" s="199"/>
      <c r="CP180" s="199"/>
      <c r="CQ180" s="199"/>
      <c r="CR180" s="199"/>
      <c r="CS180" s="310"/>
    </row>
    <row r="181" spans="1:97">
      <c r="A181" s="554" t="s">
        <v>2513</v>
      </c>
      <c r="B181" s="99"/>
      <c r="N181" s="201">
        <f t="shared" ref="N181:AO181" si="572">N178-M178</f>
        <v>0</v>
      </c>
      <c r="O181" s="131">
        <f t="shared" si="572"/>
        <v>0</v>
      </c>
      <c r="P181" s="131">
        <f t="shared" si="572"/>
        <v>0.33100000000000002</v>
      </c>
      <c r="Q181" s="131">
        <f t="shared" si="572"/>
        <v>0.32</v>
      </c>
      <c r="R181" s="131">
        <f t="shared" si="572"/>
        <v>0.41599999999999993</v>
      </c>
      <c r="S181" s="131">
        <f t="shared" si="572"/>
        <v>0.10099999999999998</v>
      </c>
      <c r="T181" s="131">
        <f t="shared" si="572"/>
        <v>0</v>
      </c>
      <c r="U181" s="131">
        <f t="shared" si="572"/>
        <v>0</v>
      </c>
      <c r="V181" s="131">
        <f t="shared" si="572"/>
        <v>0.93700000000000006</v>
      </c>
      <c r="W181" s="131">
        <f t="shared" si="572"/>
        <v>0.81800000000000006</v>
      </c>
      <c r="X181" s="131">
        <f t="shared" si="572"/>
        <v>0.96199999999999974</v>
      </c>
      <c r="Y181" s="312">
        <f t="shared" si="572"/>
        <v>0.71300000000000008</v>
      </c>
      <c r="Z181" s="201">
        <f t="shared" si="572"/>
        <v>0.60000000000000053</v>
      </c>
      <c r="AA181" s="131">
        <f t="shared" si="572"/>
        <v>0.51799999999999979</v>
      </c>
      <c r="AB181" s="131">
        <f t="shared" si="572"/>
        <v>0</v>
      </c>
      <c r="AC181" s="131">
        <f t="shared" si="572"/>
        <v>0</v>
      </c>
      <c r="AD181" s="131">
        <f t="shared" si="572"/>
        <v>1.6440000000000001</v>
      </c>
      <c r="AE181" s="131">
        <f t="shared" si="572"/>
        <v>2.355999999999999</v>
      </c>
      <c r="AF181" s="131">
        <f t="shared" si="572"/>
        <v>0</v>
      </c>
      <c r="AG181" s="131">
        <f t="shared" si="572"/>
        <v>7.6000000000000512E-2</v>
      </c>
      <c r="AH181" s="131">
        <f t="shared" si="572"/>
        <v>0.91000000000000014</v>
      </c>
      <c r="AI181" s="131">
        <f t="shared" si="572"/>
        <v>10.052000000000001</v>
      </c>
      <c r="AJ181" s="131">
        <f t="shared" si="572"/>
        <v>0</v>
      </c>
      <c r="AK181" s="312">
        <f t="shared" si="572"/>
        <v>0</v>
      </c>
      <c r="AL181" s="201">
        <f t="shared" si="572"/>
        <v>8.1200000000000045</v>
      </c>
      <c r="AM181" s="131">
        <f t="shared" si="572"/>
        <v>0.7569999999999979</v>
      </c>
      <c r="AN181" s="131">
        <f t="shared" si="572"/>
        <v>5.4579999999999984</v>
      </c>
      <c r="AO181" s="131">
        <f t="shared" si="572"/>
        <v>1.3130000000000024</v>
      </c>
      <c r="AP181" s="131">
        <f t="shared" ref="AP181:BI181" si="573">AP178-AO178</f>
        <v>0.49899999999999523</v>
      </c>
      <c r="AQ181" s="131">
        <f t="shared" si="573"/>
        <v>4.4480000000000004</v>
      </c>
      <c r="AR181" s="131">
        <f t="shared" si="573"/>
        <v>5.1870000000000047</v>
      </c>
      <c r="AS181" s="131">
        <f t="shared" si="573"/>
        <v>6.7459999999999951</v>
      </c>
      <c r="AT181" s="131">
        <f t="shared" si="573"/>
        <v>6.9740000000000038</v>
      </c>
      <c r="AU181" s="131">
        <f t="shared" si="573"/>
        <v>26.792000000000002</v>
      </c>
      <c r="AV181" s="131">
        <f t="shared" si="573"/>
        <v>18.670000000000002</v>
      </c>
      <c r="AW181" s="312">
        <f t="shared" si="573"/>
        <v>2.6580000000000013</v>
      </c>
      <c r="AX181" s="201">
        <f>AX178-AW178</f>
        <v>10.462999999999994</v>
      </c>
      <c r="AY181" s="131">
        <f t="shared" si="573"/>
        <v>0.36100000000000421</v>
      </c>
      <c r="AZ181" s="131">
        <f t="shared" si="573"/>
        <v>10.958000000000013</v>
      </c>
      <c r="BA181" s="131">
        <f t="shared" si="573"/>
        <v>13.302999999999997</v>
      </c>
      <c r="BB181" s="131">
        <f t="shared" si="573"/>
        <v>24.463999999999999</v>
      </c>
      <c r="BC181" s="131">
        <f t="shared" si="573"/>
        <v>1.6069999999999993</v>
      </c>
      <c r="BD181" s="131">
        <f t="shared" si="573"/>
        <v>4.8099999999999739</v>
      </c>
      <c r="BE181" s="131">
        <f t="shared" si="573"/>
        <v>50.736000000000018</v>
      </c>
      <c r="BF181" s="131">
        <f t="shared" si="573"/>
        <v>8.0035108900000012</v>
      </c>
      <c r="BG181" s="131">
        <f t="shared" si="573"/>
        <v>19.003489109999975</v>
      </c>
      <c r="BH181" s="131">
        <f t="shared" si="573"/>
        <v>1.1023619999999994</v>
      </c>
      <c r="BI181" s="312">
        <f t="shared" si="573"/>
        <v>132.50399999999999</v>
      </c>
      <c r="BJ181" s="201">
        <f>BJ178-BI178</f>
        <v>201.51700000000011</v>
      </c>
      <c r="BK181" s="131">
        <f t="shared" ref="BK181:BN181" si="574">BK178-BJ178</f>
        <v>35.436999999999898</v>
      </c>
      <c r="BL181" s="131">
        <f t="shared" si="574"/>
        <v>51.602000000000089</v>
      </c>
      <c r="BM181" s="131">
        <f t="shared" si="574"/>
        <v>58.472999999999956</v>
      </c>
      <c r="BN181" s="131">
        <f t="shared" si="574"/>
        <v>5.6570000000000391</v>
      </c>
      <c r="BO181" s="131">
        <f t="shared" ref="BO181:BU181" si="575">BO178-BN178</f>
        <v>43.005388000000039</v>
      </c>
      <c r="BP181" s="131">
        <f t="shared" si="575"/>
        <v>0.23561199999994642</v>
      </c>
      <c r="BQ181" s="131">
        <f t="shared" si="575"/>
        <v>28.173000000000002</v>
      </c>
      <c r="BR181" s="131">
        <f t="shared" si="575"/>
        <v>16.834999999999923</v>
      </c>
      <c r="BS181" s="131">
        <f t="shared" si="575"/>
        <v>1.1370000000000573</v>
      </c>
      <c r="BT181" s="131">
        <f t="shared" si="575"/>
        <v>1.1069999999999709</v>
      </c>
      <c r="BU181" s="312">
        <f t="shared" si="575"/>
        <v>0.17600000000004457</v>
      </c>
      <c r="BV181" s="201">
        <f>BV178-BU178</f>
        <v>0.11099999999999</v>
      </c>
      <c r="BW181" s="131">
        <f>BW178-BV178</f>
        <v>5.7789999999999964</v>
      </c>
      <c r="BX181" s="131">
        <f>BX178-BW178</f>
        <v>6.52800000000002</v>
      </c>
      <c r="BY181" s="131">
        <f>BY178-BX178</f>
        <v>8.0090000000000146</v>
      </c>
      <c r="BZ181" s="131">
        <f t="shared" ref="BZ181:CB181" si="576">BZ178-BY178</f>
        <v>5.6999999999902684E-2</v>
      </c>
      <c r="CA181" s="131">
        <f t="shared" si="576"/>
        <v>0</v>
      </c>
      <c r="CB181" s="131">
        <f t="shared" si="576"/>
        <v>0</v>
      </c>
      <c r="CC181" s="131">
        <v>0</v>
      </c>
      <c r="CD181" s="131">
        <v>0</v>
      </c>
      <c r="CE181" s="131">
        <v>0</v>
      </c>
      <c r="CF181" s="131">
        <v>0</v>
      </c>
      <c r="CG181" s="131">
        <v>0</v>
      </c>
      <c r="CH181" s="201">
        <v>0</v>
      </c>
      <c r="CI181" s="131">
        <v>0</v>
      </c>
      <c r="CJ181" s="131">
        <v>0</v>
      </c>
      <c r="CK181" s="131"/>
      <c r="CL181" s="131"/>
      <c r="CM181" s="131"/>
      <c r="CN181" s="131"/>
      <c r="CO181" s="131"/>
      <c r="CP181" s="131"/>
      <c r="CQ181" s="131"/>
      <c r="CR181" s="131"/>
      <c r="CS181" s="312"/>
    </row>
    <row r="183" spans="1:97">
      <c r="BZ183" s="71"/>
    </row>
    <row r="185" spans="1:97">
      <c r="AZ185" s="191"/>
      <c r="BE185" s="71"/>
    </row>
    <row r="187" spans="1:97">
      <c r="BE187" s="71"/>
    </row>
  </sheetData>
  <phoneticPr fontId="0" type="noConversion"/>
  <pageMargins left="0.75" right="0.75" top="1" bottom="1" header="0.5" footer="0.5"/>
  <pageSetup paperSize="9" scale="14" orientation="landscape" r:id="rId1"/>
  <headerFooter alignWithMargins="0"/>
  <ignoredErrors>
    <ignoredError sqref="N16:V18 W16:Z16 W18:Z18 AA16:AD19 BI118 BV51 ES49:ET49 Z17 X17 EV49 ES48:EV48 EU49:EU50 ES117:EV118 EW48:EZ50 EW55:EZ55 EW117 EX117:FA118 AY178 ES29:FD40 BB178 BH178:BI178 CI118:DE118 FB117:FD117 FE117:FH118 BL178 ES90:FH116 CA158:DE158 BN178 BP178:BQ178 FA48:FE49 FQ29:FQ55 ES42:FE47 BT178 FF42:FH55 FE29:FH41 FI29:FL49 FI90:FL117 DF118:DQ118 ED50:ED51 ED81 ED82:ED89 DF158:DQ158 CF178:CH178 ED29:ED30 ED43:ED49 ED60:ED61 ED63:ED71 ED73:ED80 DR118:EC118 ED119:ED129 ED159:ED187 DR158:EC158 ED130:ED157 FM29:FP50 FM90:FP117 CI178:CJ181" formulaRange="1"/>
    <ignoredError sqref="BI89 EF41:FD41 FR41:FX41" formula="1"/>
    <ignoredError sqref="ES51:EV54 EW51:EZ54" evalError="1" formulaRange="1"/>
    <ignoredError sqref="ES55:EV55 ES120:ET124 ES119:ET119 EV119 EV120:EV124 EW119:EZ124 FA51:FD54 FA119:FD124 FE119:FH124" evalError="1"/>
    <ignoredError sqref="ED31 ED41 ED72 ED62" formula="1" formulaRange="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57"/>
  <sheetViews>
    <sheetView zoomScale="75" workbookViewId="0">
      <selection activeCell="W44" sqref="W44"/>
    </sheetView>
  </sheetViews>
  <sheetFormatPr defaultRowHeight="12.75"/>
  <cols>
    <col min="14" max="14" width="6.5703125" customWidth="1"/>
    <col min="15" max="15" width="6.85546875" customWidth="1"/>
  </cols>
  <sheetData>
    <row r="1" spans="1:16">
      <c r="A1" t="str">
        <f>+JI_Projects!A2</f>
        <v>The Pipeline was produced by Jørgen Fenhann, UNEP DTU Partnership,  1st November 2018 , jqfe@dtu.dk, Phone (+45)40202789</v>
      </c>
    </row>
    <row r="3" spans="1:16">
      <c r="B3" s="1" t="s">
        <v>1313</v>
      </c>
      <c r="P3" s="1"/>
    </row>
    <row r="4" spans="1:16">
      <c r="A4" t="s">
        <v>1313</v>
      </c>
      <c r="B4" s="191" t="s">
        <v>2439</v>
      </c>
    </row>
    <row r="5" spans="1:16">
      <c r="B5" s="191" t="s">
        <v>2440</v>
      </c>
    </row>
    <row r="31" spans="16:16">
      <c r="P31" s="208"/>
    </row>
    <row r="39" spans="1:1">
      <c r="A39" s="1" t="s">
        <v>711</v>
      </c>
    </row>
    <row r="40" spans="1:1">
      <c r="A40" t="s">
        <v>912</v>
      </c>
    </row>
    <row r="41" spans="1:1">
      <c r="A41" t="s">
        <v>752</v>
      </c>
    </row>
    <row r="42" spans="1:1">
      <c r="A42" t="s">
        <v>1076</v>
      </c>
    </row>
    <row r="55" spans="11:16">
      <c r="K55" t="s">
        <v>1308</v>
      </c>
      <c r="O55" s="146">
        <f>1-Time!CA12/Time!B13</f>
        <v>0.78048780487804881</v>
      </c>
    </row>
    <row r="57" spans="11:16">
      <c r="K57" s="22" t="s">
        <v>1309</v>
      </c>
      <c r="O57" s="145">
        <f>+Time!BZ13</f>
        <v>11.848484848484848</v>
      </c>
      <c r="P57" s="141" t="s">
        <v>703</v>
      </c>
    </row>
  </sheetData>
  <phoneticPr fontId="10" type="noConversion"/>
  <pageMargins left="0.75" right="0.75" top="1" bottom="1" header="0.5" footer="0.5"/>
  <pageSetup paperSize="9"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44</vt:i4>
      </vt:variant>
    </vt:vector>
  </HeadingPairs>
  <TitlesOfParts>
    <vt:vector size="53" baseType="lpstr">
      <vt:lpstr>JI_Projects</vt:lpstr>
      <vt:lpstr>PoAs</vt:lpstr>
      <vt:lpstr>AAU</vt:lpstr>
      <vt:lpstr>Analysis</vt:lpstr>
      <vt:lpstr>Exch</vt:lpstr>
      <vt:lpstr>Analysis2</vt:lpstr>
      <vt:lpstr>DOEs_AIEs</vt:lpstr>
      <vt:lpstr>Time</vt:lpstr>
      <vt:lpstr>Timelagcharts</vt:lpstr>
      <vt:lpstr>AboveBuyer</vt:lpstr>
      <vt:lpstr>AboveDOE</vt:lpstr>
      <vt:lpstr>AboveHost</vt:lpstr>
      <vt:lpstr>AboveJIHost</vt:lpstr>
      <vt:lpstr>AboveRes</vt:lpstr>
      <vt:lpstr>AboveType</vt:lpstr>
      <vt:lpstr>AboveType2</vt:lpstr>
      <vt:lpstr>BelowBuyer</vt:lpstr>
      <vt:lpstr>BelowDOE</vt:lpstr>
      <vt:lpstr>BelowHost</vt:lpstr>
      <vt:lpstr>BelowJIHost</vt:lpstr>
      <vt:lpstr>BelowRes</vt:lpstr>
      <vt:lpstr>BelowType</vt:lpstr>
      <vt:lpstr>ERUsExpected</vt:lpstr>
      <vt:lpstr>ERUsIssued</vt:lpstr>
      <vt:lpstr>JIBuyer</vt:lpstr>
      <vt:lpstr>JICreditstart</vt:lpstr>
      <vt:lpstr>JIDOE</vt:lpstr>
      <vt:lpstr>JIDOE2</vt:lpstr>
      <vt:lpstr>JIHost</vt:lpstr>
      <vt:lpstr>JIktCO22012</vt:lpstr>
      <vt:lpstr>JIktCO2peryr</vt:lpstr>
      <vt:lpstr>JILoA</vt:lpstr>
      <vt:lpstr>JIMethod</vt:lpstr>
      <vt:lpstr>JIMW</vt:lpstr>
      <vt:lpstr>JIRegRequest</vt:lpstr>
      <vt:lpstr>JIResource</vt:lpstr>
      <vt:lpstr>JIStartcomment</vt:lpstr>
      <vt:lpstr>JIStatus</vt:lpstr>
      <vt:lpstr>JISuccess</vt:lpstr>
      <vt:lpstr>JIType</vt:lpstr>
      <vt:lpstr>JIUntil</vt:lpstr>
      <vt:lpstr>LastJIline</vt:lpstr>
      <vt:lpstr>DOEs_AIEs!Print_Area</vt:lpstr>
      <vt:lpstr>Slope</vt:lpstr>
      <vt:lpstr>Statusnumber</vt:lpstr>
      <vt:lpstr>TableHostsTime</vt:lpstr>
      <vt:lpstr>TableHostsTimeERU</vt:lpstr>
      <vt:lpstr>TableHostsTypes</vt:lpstr>
      <vt:lpstr>TableHostsTypesERU</vt:lpstr>
      <vt:lpstr>TableMWHostsTypes</vt:lpstr>
      <vt:lpstr>TableTypesTime</vt:lpstr>
      <vt:lpstr>TableTypesTimeERU</vt:lpstr>
      <vt:lpstr>Track</vt:lpstr>
    </vt:vector>
  </TitlesOfParts>
  <Company>Risø National Laboratory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Fenhann, Jørgen Villy</dc:creator>
  <cp:lastModifiedBy>Jørgen Villy Fenhann</cp:lastModifiedBy>
  <cp:lastPrinted>2013-07-01T13:34:57Z</cp:lastPrinted>
  <dcterms:created xsi:type="dcterms:W3CDTF">2003-05-08T09:17:33Z</dcterms:created>
  <dcterms:modified xsi:type="dcterms:W3CDTF">2018-11-02T10:36:28Z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1123099495</vt:i4>
  </property>
  <property fmtid="{D5CDD505-2E9C-101B-9397-08002B2CF9AE}" pid="3" name="_EmailSubject">
    <vt:lpwstr>Here is my updated spreadsheet. Regards Jørgen</vt:lpwstr>
  </property>
  <property fmtid="{D5CDD505-2E9C-101B-9397-08002B2CF9AE}" pid="4" name="_AuthorEmail">
    <vt:lpwstr>JFZK@exchange.Risoe.dk</vt:lpwstr>
  </property>
  <property fmtid="{D5CDD505-2E9C-101B-9397-08002B2CF9AE}" pid="5" name="_AuthorEmailDisplayName">
    <vt:lpwstr>Zak, Juan</vt:lpwstr>
  </property>
  <property fmtid="{D5CDD505-2E9C-101B-9397-08002B2CF9AE}" pid="6" name="_PreviousAdHocReviewCycleID">
    <vt:i4>-1917095820</vt:i4>
  </property>
  <property fmtid="{D5CDD505-2E9C-101B-9397-08002B2CF9AE}" pid="7" name="_ReviewingToolsShownOnce">
    <vt:lpwstr/>
  </property>
</Properties>
</file>